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omments1.xml" ContentType="application/vnd.openxmlformats-officedocument.spreadsheetml.comments+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tables/table2.xml" ContentType="application/vnd.openxmlformats-officedocument.spreadsheetml.table+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tables/table3.xml" ContentType="application/vnd.openxmlformats-officedocument.spreadsheetml.table+xml"/>
  <Override PartName="/xl/drawings/drawing58.xml" ContentType="application/vnd.openxmlformats-officedocument.drawing+xml"/>
  <Override PartName="/xl/drawings/drawing59.xml" ContentType="application/vnd.openxmlformats-officedocument.drawing+xml"/>
  <Override PartName="/xl/drawings/drawing60.xml" ContentType="application/vnd.openxmlformats-officedocument.drawing+xml"/>
  <Override PartName="/xl/pivotTables/pivotTable1.xml" ContentType="application/vnd.openxmlformats-officedocument.spreadsheetml.pivotTable+xml"/>
  <Override PartName="/xl/drawings/drawing61.xml" ContentType="application/vnd.openxmlformats-officedocument.drawing+xml"/>
  <Override PartName="/xl/drawings/drawing62.xml" ContentType="application/vnd.openxmlformats-officedocument.drawing+xml"/>
  <Override PartName="/xl/drawings/drawing63.xml" ContentType="application/vnd.openxmlformats-officedocument.drawing+xml"/>
  <Override PartName="/xl/drawings/drawing64.xml" ContentType="application/vnd.openxmlformats-officedocument.drawing+xml"/>
  <Override PartName="/xl/drawings/drawing65.xml" ContentType="application/vnd.openxmlformats-officedocument.drawing+xml"/>
  <Override PartName="/xl/drawings/drawing6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C:\Users\Carlton\Documents\2013\"/>
    </mc:Choice>
  </mc:AlternateContent>
  <bookViews>
    <workbookView xWindow="0" yWindow="0" windowWidth="28800" windowHeight="12030"/>
  </bookViews>
  <sheets>
    <sheet name="Summary" sheetId="1" r:id="rId1"/>
    <sheet name="CarltonCollins" sheetId="76" r:id="rId2"/>
    <sheet name="RichardC" sheetId="2" r:id="rId3"/>
    <sheet name="WilliamD" sheetId="3" r:id="rId4"/>
    <sheet name="JeremyJ" sheetId="4" r:id="rId5"/>
    <sheet name="JasonB" sheetId="5" r:id="rId6"/>
    <sheet name="BrianB" sheetId="6" r:id="rId7"/>
    <sheet name="DJD" sheetId="7" r:id="rId8"/>
    <sheet name="JimH" sheetId="8" r:id="rId9"/>
    <sheet name="EricE" sheetId="9" r:id="rId10"/>
    <sheet name="JuliaM" sheetId="10" r:id="rId11"/>
    <sheet name="VinceW" sheetId="11" r:id="rId12"/>
    <sheet name="JoeM" sheetId="12" r:id="rId13"/>
    <sheet name="TravisL" sheetId="13" r:id="rId14"/>
    <sheet name="KateR" sheetId="14" r:id="rId15"/>
    <sheet name="JimS" sheetId="15" r:id="rId16"/>
    <sheet name="BenA" sheetId="16" r:id="rId17"/>
    <sheet name="PeterH" sheetId="17" r:id="rId18"/>
    <sheet name="FredB" sheetId="18" r:id="rId19"/>
    <sheet name="JoshW" sheetId="29" r:id="rId20"/>
    <sheet name="KyleV" sheetId="40" r:id="rId21"/>
    <sheet name="JDK" sheetId="51" r:id="rId22"/>
    <sheet name="AsherF" sheetId="52" r:id="rId23"/>
    <sheet name="PamP" sheetId="53" r:id="rId24"/>
    <sheet name="JenniferK1" sheetId="54" r:id="rId25"/>
    <sheet name="JenniferK2" sheetId="55" r:id="rId26"/>
    <sheet name="JenniferK3" sheetId="56" r:id="rId27"/>
    <sheet name="PatK" sheetId="57" r:id="rId28"/>
    <sheet name="StevenL" sheetId="58" r:id="rId29"/>
    <sheet name="SharonK" sheetId="59" r:id="rId30"/>
    <sheet name="RickY" sheetId="60" r:id="rId31"/>
    <sheet name="AmyB" sheetId="61" r:id="rId32"/>
    <sheet name="CraigF" sheetId="41" r:id="rId33"/>
    <sheet name="AnthonyL1" sheetId="42" r:id="rId34"/>
    <sheet name="AnthonyL2" sheetId="43" r:id="rId35"/>
    <sheet name="KentS" sheetId="44" r:id="rId36"/>
    <sheet name="MichaelC" sheetId="45" r:id="rId37"/>
    <sheet name="ToddM" sheetId="46" r:id="rId38"/>
    <sheet name="DavidF1" sheetId="47" r:id="rId39"/>
    <sheet name="DavidF2" sheetId="48" r:id="rId40"/>
    <sheet name="MilanF1" sheetId="49" r:id="rId41"/>
    <sheet name="MilanF2" sheetId="50" r:id="rId42"/>
    <sheet name="JimSc" sheetId="30" r:id="rId43"/>
    <sheet name="StephenK" sheetId="31" r:id="rId44"/>
    <sheet name="TravisW" sheetId="32" r:id="rId45"/>
    <sheet name="GilB" sheetId="33" r:id="rId46"/>
    <sheet name="KevinD" sheetId="34" r:id="rId47"/>
    <sheet name="ChadC" sheetId="35" r:id="rId48"/>
    <sheet name="JoeB1" sheetId="36" r:id="rId49"/>
    <sheet name="JoeB2" sheetId="37" r:id="rId50"/>
    <sheet name="MarkB" sheetId="38" r:id="rId51"/>
    <sheet name="BradenH" sheetId="39" r:id="rId52"/>
    <sheet name="MaryL" sheetId="19" r:id="rId53"/>
    <sheet name="AlexY" sheetId="20" r:id="rId54"/>
    <sheet name="PatOB" sheetId="21" r:id="rId55"/>
    <sheet name="KimJ" sheetId="22" r:id="rId56"/>
    <sheet name="BradL" sheetId="23" r:id="rId57"/>
    <sheet name="BruceMc" sheetId="24" r:id="rId58"/>
    <sheet name="ColinG" sheetId="25" r:id="rId59"/>
    <sheet name="ThomasU" sheetId="26" r:id="rId60"/>
    <sheet name="MichaelI" sheetId="77" r:id="rId61"/>
    <sheet name="DarrinW" sheetId="27" r:id="rId62"/>
    <sheet name="KarynT" sheetId="28" r:id="rId63"/>
    <sheet name="JordanG" sheetId="62" r:id="rId64"/>
    <sheet name="DavidF" sheetId="63" r:id="rId65"/>
    <sheet name="JesseC" sheetId="64" r:id="rId66"/>
    <sheet name="DavidR" sheetId="65" r:id="rId67"/>
  </sheets>
  <externalReferences>
    <externalReference r:id="rId68"/>
    <externalReference r:id="rId69"/>
  </externalReferences>
  <definedNames>
    <definedName name="Address">StevenL!$D$6:$D$106</definedName>
    <definedName name="Balance">StevenL!$J$6:$J$106</definedName>
    <definedName name="City">StevenL!$E$6:$E$106</definedName>
    <definedName name="City_1">AlexY!$E$4:$E$104</definedName>
    <definedName name="CollinsRange">OFFSET(AlexY!$A$4,,,COUNTA(AlexY!$B:$B)-1,10)</definedName>
    <definedName name="First_Name">StevenL!$C$6:$C$106</definedName>
    <definedName name="First_Name1">AlexY!$C$4:$C$104</definedName>
    <definedName name="HeaderRow">KyleV!$P$5</definedName>
    <definedName name="Last_Name">StevenL!$B$6:$B$106</definedName>
    <definedName name="Last_Name1">AlexY!$B$4:$B$104</definedName>
    <definedName name="Number">StevenL!$A$6:$A$106</definedName>
    <definedName name="Pension_Plan">StevenL!$I$6:$I$106</definedName>
    <definedName name="Pensions">BenA!$A$3:$K$503</definedName>
    <definedName name="Phone">StevenL!$H$6:$H$106</definedName>
    <definedName name="Record_Count">[1]!Table1[[#Totals],[Last Name]]</definedName>
    <definedName name="State">StevenL!$F$6:$F$106</definedName>
    <definedName name="Zip">StevenL!$G$6:$G$106</definedName>
  </definedNames>
  <calcPr calcId="152511"/>
  <pivotCaches>
    <pivotCache cacheId="4" r:id="rId70"/>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Y14" i="27" l="1"/>
  <c r="Y12" i="27"/>
  <c r="P12" i="27"/>
  <c r="Y10" i="27"/>
  <c r="P10" i="27"/>
  <c r="Y8" i="27"/>
  <c r="P8" i="27"/>
  <c r="Y6" i="27"/>
  <c r="P6" i="27"/>
  <c r="AB1" i="27"/>
  <c r="AA1" i="27"/>
  <c r="Z1" i="27"/>
  <c r="Y1" i="27"/>
  <c r="X1" i="27"/>
  <c r="W1" i="27"/>
  <c r="V1" i="27"/>
  <c r="U1" i="27"/>
  <c r="T1" i="27"/>
  <c r="S1" i="27"/>
  <c r="Y14" i="77" l="1"/>
  <c r="Y12" i="77"/>
  <c r="P12" i="77"/>
  <c r="Y10" i="77"/>
  <c r="P10" i="77"/>
  <c r="Y8" i="77"/>
  <c r="P8" i="77"/>
  <c r="Y6" i="77"/>
  <c r="P6" i="77"/>
  <c r="AB1" i="77"/>
  <c r="AA1" i="77"/>
  <c r="Z1" i="77"/>
  <c r="Y1" i="77"/>
  <c r="X1" i="77"/>
  <c r="W1" i="77"/>
  <c r="V1" i="77"/>
  <c r="U1" i="77"/>
  <c r="T1" i="77"/>
  <c r="S1" i="77"/>
  <c r="P6" i="76" l="1"/>
  <c r="A28" i="76" l="1"/>
  <c r="A27" i="76"/>
  <c r="A26" i="76"/>
  <c r="A25" i="76"/>
  <c r="A24" i="76"/>
  <c r="A23" i="76"/>
  <c r="A22" i="76"/>
  <c r="A21" i="76"/>
  <c r="A20" i="76"/>
  <c r="A19" i="76"/>
  <c r="A18" i="76"/>
  <c r="A17" i="76"/>
  <c r="A16" i="76"/>
  <c r="A15" i="76"/>
  <c r="A14" i="76"/>
  <c r="A13" i="76"/>
  <c r="A12" i="76"/>
  <c r="A11" i="76"/>
  <c r="A6" i="76"/>
  <c r="A5" i="76"/>
  <c r="J1" i="76" l="1"/>
  <c r="C1" i="76"/>
  <c r="P8" i="76" s="1"/>
  <c r="A7" i="76"/>
  <c r="A8" i="76" s="1"/>
  <c r="A9" i="76" s="1"/>
  <c r="A10" i="76" s="1"/>
  <c r="H1" i="76"/>
  <c r="P12" i="76" s="1"/>
  <c r="I1" i="76"/>
  <c r="Y12" i="76" s="1"/>
  <c r="F1" i="76"/>
  <c r="Y8" i="76" s="1"/>
  <c r="B1" i="76"/>
  <c r="G1" i="76" l="1"/>
  <c r="Y10" i="76" s="1"/>
  <c r="E1" i="76"/>
  <c r="Y6" i="76" s="1"/>
  <c r="P10" i="76"/>
  <c r="L27" i="65" l="1"/>
  <c r="Y10" i="65" s="1"/>
  <c r="Y12" i="65"/>
  <c r="P12" i="65"/>
  <c r="AB1" i="65"/>
  <c r="AA1" i="65"/>
  <c r="Z1" i="65"/>
  <c r="Y1" i="65"/>
  <c r="X1" i="65"/>
  <c r="W1" i="65"/>
  <c r="V1" i="65"/>
  <c r="U1" i="65"/>
  <c r="T1" i="65"/>
  <c r="S1" i="65"/>
  <c r="Y6" i="65" l="1"/>
  <c r="P8" i="65"/>
  <c r="Y8" i="65"/>
  <c r="P10" i="65"/>
  <c r="P6" i="65"/>
  <c r="Y14" i="65"/>
  <c r="Y6" i="64" l="1"/>
  <c r="L2" i="64"/>
  <c r="Y14" i="64" s="1"/>
  <c r="AB1" i="64"/>
  <c r="AA1" i="64"/>
  <c r="Z1" i="64"/>
  <c r="Y1" i="64"/>
  <c r="X1" i="64"/>
  <c r="W1" i="64"/>
  <c r="V1" i="64"/>
  <c r="U1" i="64"/>
  <c r="T1" i="64"/>
  <c r="S1" i="64"/>
  <c r="P8" i="64" l="1"/>
  <c r="Y8" i="64"/>
  <c r="P10" i="64"/>
  <c r="Y10" i="64"/>
  <c r="P12" i="64"/>
  <c r="Y12" i="64"/>
  <c r="P6" i="64"/>
  <c r="B28" i="63" l="1"/>
  <c r="AC1" i="63" s="1"/>
  <c r="B27" i="63"/>
  <c r="B26" i="63"/>
  <c r="B25" i="63"/>
  <c r="B24" i="63"/>
  <c r="B23" i="63"/>
  <c r="B22" i="63"/>
  <c r="B21" i="63"/>
  <c r="B20" i="63"/>
  <c r="B19" i="63"/>
  <c r="B18" i="63"/>
  <c r="B17" i="63"/>
  <c r="B16" i="63"/>
  <c r="B15" i="63"/>
  <c r="B14" i="63"/>
  <c r="B4" i="63"/>
  <c r="AB1" i="63"/>
  <c r="AA1" i="63"/>
  <c r="X1" i="63"/>
  <c r="W1" i="63"/>
  <c r="V1" i="63"/>
  <c r="T1" i="63"/>
  <c r="B5" i="63" l="1"/>
  <c r="B6" i="63" s="1"/>
  <c r="B7" i="63" s="1"/>
  <c r="B8" i="63" s="1"/>
  <c r="B9" i="63" s="1"/>
  <c r="B10" i="63" s="1"/>
  <c r="B11" i="63" s="1"/>
  <c r="B12" i="63" s="1"/>
  <c r="B13" i="63" s="1"/>
  <c r="Y1" i="63"/>
  <c r="Z1" i="63"/>
  <c r="U1" i="63"/>
  <c r="Z12" i="63" l="1"/>
  <c r="Z6" i="63"/>
  <c r="Z14" i="63"/>
  <c r="Z8" i="63"/>
  <c r="Q10" i="63"/>
  <c r="Z10" i="63"/>
  <c r="Q12" i="63"/>
  <c r="Q6" i="63"/>
  <c r="Q8" i="63"/>
  <c r="AB1" i="62" l="1"/>
  <c r="AA1" i="62"/>
  <c r="Z1" i="62"/>
  <c r="Y1" i="62"/>
  <c r="X1" i="62"/>
  <c r="W1" i="62"/>
  <c r="V1" i="62"/>
  <c r="U1" i="62"/>
  <c r="T1" i="62"/>
  <c r="S1" i="62"/>
  <c r="Y10" i="62"/>
  <c r="P10" i="62"/>
  <c r="P8" i="62"/>
  <c r="Y8" i="62"/>
  <c r="P6" i="62"/>
  <c r="Y14" i="62"/>
  <c r="Y12" i="62"/>
  <c r="Y6" i="62"/>
  <c r="P12" i="62"/>
  <c r="Y14" i="28" l="1"/>
  <c r="Y12" i="28"/>
  <c r="P12" i="28"/>
  <c r="Y10" i="28"/>
  <c r="P10" i="28"/>
  <c r="Y8" i="28"/>
  <c r="P8" i="28"/>
  <c r="Y6" i="28"/>
  <c r="P6" i="28"/>
  <c r="AB1" i="28"/>
  <c r="AA1" i="28"/>
  <c r="Z1" i="28"/>
  <c r="Y1" i="28"/>
  <c r="X1" i="28"/>
  <c r="W1" i="28"/>
  <c r="V1" i="28"/>
  <c r="U1" i="28"/>
  <c r="T1" i="28"/>
  <c r="S1" i="28"/>
  <c r="Y14" i="26" l="1"/>
  <c r="Y12" i="26"/>
  <c r="P12" i="26"/>
  <c r="Y10" i="26"/>
  <c r="P10" i="26"/>
  <c r="Y8" i="26"/>
  <c r="P8" i="26"/>
  <c r="Y6" i="26"/>
  <c r="P6" i="26"/>
  <c r="AB1" i="26"/>
  <c r="AA1" i="26"/>
  <c r="Z1" i="26"/>
  <c r="Y1" i="26"/>
  <c r="X1" i="26"/>
  <c r="W1" i="26"/>
  <c r="V1" i="26"/>
  <c r="U1" i="26"/>
  <c r="T1" i="26"/>
  <c r="S1" i="26"/>
  <c r="AB1" i="25" l="1"/>
  <c r="AA1" i="25"/>
  <c r="Z1" i="25"/>
  <c r="Y1" i="25"/>
  <c r="X1" i="25"/>
  <c r="W1" i="25"/>
  <c r="V1" i="25"/>
  <c r="U1" i="25"/>
  <c r="T1" i="25"/>
  <c r="S1" i="25"/>
  <c r="P10" i="25"/>
  <c r="Y8" i="25"/>
  <c r="Y10" i="25"/>
  <c r="Y6" i="25"/>
  <c r="Y14" i="25"/>
  <c r="Y12" i="25"/>
  <c r="P8" i="25"/>
  <c r="P12" i="25"/>
  <c r="P6" i="25"/>
  <c r="Y14" i="24" l="1"/>
  <c r="Y12" i="24"/>
  <c r="P12" i="24"/>
  <c r="Y10" i="24"/>
  <c r="P10" i="24"/>
  <c r="Y8" i="24"/>
  <c r="P8" i="24"/>
  <c r="Y6" i="24"/>
  <c r="P6" i="24"/>
  <c r="AB1" i="24"/>
  <c r="AA1" i="24"/>
  <c r="Z1" i="24"/>
  <c r="Y1" i="24"/>
  <c r="X1" i="24"/>
  <c r="W1" i="24"/>
  <c r="V1" i="24"/>
  <c r="U1" i="24"/>
  <c r="T1" i="24"/>
  <c r="S1" i="24"/>
  <c r="A27" i="23" l="1"/>
  <c r="A26" i="23"/>
  <c r="A25" i="23"/>
  <c r="A24" i="23"/>
  <c r="A23" i="23"/>
  <c r="A22" i="23"/>
  <c r="A21" i="23"/>
  <c r="A20" i="23"/>
  <c r="A19" i="23"/>
  <c r="A18" i="23"/>
  <c r="A17" i="23"/>
  <c r="A16" i="23"/>
  <c r="A15" i="23"/>
  <c r="A14" i="23"/>
  <c r="A13" i="23"/>
  <c r="A12" i="23"/>
  <c r="A11" i="23"/>
  <c r="A10" i="23"/>
  <c r="A9" i="23"/>
  <c r="A8" i="23"/>
  <c r="A7" i="23"/>
  <c r="A6" i="23"/>
  <c r="A5" i="23"/>
  <c r="A4" i="23"/>
  <c r="A3" i="23" s="1"/>
  <c r="AC1" i="23"/>
  <c r="AB1" i="23"/>
  <c r="AA1" i="23"/>
  <c r="Z1" i="23"/>
  <c r="Y1" i="23"/>
  <c r="X1" i="23"/>
  <c r="W1" i="23"/>
  <c r="V1" i="23"/>
  <c r="U1" i="23"/>
  <c r="T1" i="23"/>
  <c r="Z12" i="23" l="1"/>
  <c r="Z8" i="23"/>
  <c r="Q12" i="23"/>
  <c r="Q8" i="23"/>
  <c r="Z10" i="23"/>
  <c r="Z6" i="23"/>
  <c r="Z14" i="23"/>
  <c r="Q10" i="23"/>
  <c r="Q6" i="23"/>
  <c r="Y14" i="22" l="1"/>
  <c r="Y12" i="22"/>
  <c r="P12" i="22"/>
  <c r="Y10" i="22"/>
  <c r="P10" i="22"/>
  <c r="Y8" i="22"/>
  <c r="P8" i="22"/>
  <c r="Y6" i="22"/>
  <c r="P6" i="22"/>
  <c r="AB1" i="22"/>
  <c r="AA1" i="22"/>
  <c r="Z1" i="22"/>
  <c r="Y1" i="22"/>
  <c r="X1" i="22"/>
  <c r="W1" i="22"/>
  <c r="V1" i="22"/>
  <c r="U1" i="22"/>
  <c r="T1" i="22"/>
  <c r="S1" i="22"/>
  <c r="A28" i="21" l="1"/>
  <c r="A27" i="21"/>
  <c r="A26" i="21"/>
  <c r="A25" i="21"/>
  <c r="A24" i="21"/>
  <c r="A23" i="21"/>
  <c r="A22" i="21"/>
  <c r="A21" i="21"/>
  <c r="A20" i="21"/>
  <c r="A19" i="21"/>
  <c r="A18" i="21"/>
  <c r="A17" i="21"/>
  <c r="A16" i="21"/>
  <c r="A15" i="21"/>
  <c r="A14" i="21"/>
  <c r="A13" i="21"/>
  <c r="A12" i="21"/>
  <c r="A5" i="21"/>
  <c r="A6" i="21" s="1"/>
  <c r="A7" i="21" l="1"/>
  <c r="A8" i="21" s="1"/>
  <c r="A9" i="21" s="1"/>
  <c r="A10" i="21" s="1"/>
  <c r="A11" i="21" s="1"/>
  <c r="Q1" i="21"/>
  <c r="P1" i="21" s="1"/>
  <c r="P12" i="21" l="1"/>
  <c r="P8" i="21"/>
  <c r="Y10" i="21"/>
  <c r="Y6" i="21"/>
  <c r="Y8" i="21"/>
  <c r="Y12" i="21"/>
  <c r="Y14" i="21"/>
  <c r="P10" i="21"/>
  <c r="P6" i="21"/>
  <c r="Y14" i="20"/>
  <c r="Y12" i="20"/>
  <c r="P12" i="20"/>
  <c r="Y10" i="20"/>
  <c r="P10" i="20"/>
  <c r="Y8" i="20"/>
  <c r="P8" i="20"/>
  <c r="Y6" i="20"/>
  <c r="P6" i="20"/>
  <c r="AB1" i="20"/>
  <c r="AA1" i="20"/>
  <c r="Z1" i="20"/>
  <c r="Y1" i="20"/>
  <c r="X1" i="20"/>
  <c r="W1" i="20"/>
  <c r="V1" i="20"/>
  <c r="U1" i="20"/>
  <c r="T1" i="20"/>
  <c r="S1" i="20"/>
  <c r="AB1" i="19" l="1"/>
  <c r="AA1" i="19"/>
  <c r="Z1" i="19"/>
  <c r="Y1" i="19"/>
  <c r="X1" i="19"/>
  <c r="W1" i="19"/>
  <c r="V1" i="19"/>
  <c r="U1" i="19"/>
  <c r="T1" i="19"/>
  <c r="S1" i="19"/>
  <c r="Y14" i="19"/>
  <c r="Y6" i="19"/>
  <c r="P12" i="19"/>
  <c r="P10" i="19"/>
  <c r="Y12" i="19"/>
  <c r="Y10" i="19"/>
  <c r="Y8" i="19"/>
  <c r="P6" i="19"/>
  <c r="P8" i="19"/>
  <c r="Y14" i="39" l="1"/>
  <c r="Y12" i="39"/>
  <c r="P12" i="39"/>
  <c r="Y10" i="39"/>
  <c r="P10" i="39"/>
  <c r="Y8" i="39"/>
  <c r="P8" i="39"/>
  <c r="Y6" i="39"/>
  <c r="P6" i="39"/>
  <c r="AB1" i="39"/>
  <c r="AA1" i="39"/>
  <c r="Z1" i="39"/>
  <c r="Y1" i="39"/>
  <c r="X1" i="39"/>
  <c r="W1" i="39"/>
  <c r="V1" i="39"/>
  <c r="U1" i="39"/>
  <c r="T1" i="39"/>
  <c r="S1" i="39"/>
  <c r="Y14" i="38" l="1"/>
  <c r="Y12" i="38"/>
  <c r="P12" i="38"/>
  <c r="Y10" i="38"/>
  <c r="P10" i="38"/>
  <c r="Y8" i="38"/>
  <c r="P8" i="38"/>
  <c r="Y6" i="38"/>
  <c r="P6" i="38"/>
  <c r="AB1" i="38"/>
  <c r="AA1" i="38"/>
  <c r="Z1" i="38"/>
  <c r="Y1" i="38"/>
  <c r="X1" i="38"/>
  <c r="W1" i="38"/>
  <c r="V1" i="38"/>
  <c r="U1" i="38"/>
  <c r="T1" i="38"/>
  <c r="S1" i="38"/>
  <c r="Y14" i="37" l="1"/>
  <c r="Y12" i="37"/>
  <c r="P12" i="37"/>
  <c r="Y10" i="37"/>
  <c r="P10" i="37"/>
  <c r="Y8" i="37"/>
  <c r="P8" i="37"/>
  <c r="Y6" i="37"/>
  <c r="P6" i="37"/>
  <c r="AB1" i="37"/>
  <c r="AA1" i="37"/>
  <c r="Z1" i="37"/>
  <c r="Y1" i="37"/>
  <c r="X1" i="37"/>
  <c r="W1" i="37"/>
  <c r="V1" i="37"/>
  <c r="U1" i="37"/>
  <c r="T1" i="37"/>
  <c r="S1" i="37"/>
  <c r="Y14" i="36" l="1"/>
  <c r="Y12" i="36"/>
  <c r="P12" i="36"/>
  <c r="Y10" i="36"/>
  <c r="P10" i="36"/>
  <c r="Y8" i="36"/>
  <c r="P8" i="36"/>
  <c r="Y6" i="36"/>
  <c r="P6" i="36"/>
  <c r="AB1" i="36"/>
  <c r="AA1" i="36"/>
  <c r="Z1" i="36"/>
  <c r="Y1" i="36"/>
  <c r="X1" i="36"/>
  <c r="W1" i="36"/>
  <c r="V1" i="36"/>
  <c r="U1" i="36"/>
  <c r="T1" i="36"/>
  <c r="S1" i="36"/>
  <c r="Y14" i="35" l="1"/>
  <c r="Y12" i="35"/>
  <c r="P12" i="35"/>
  <c r="Y10" i="35"/>
  <c r="P10" i="35"/>
  <c r="Y8" i="35"/>
  <c r="P8" i="35"/>
  <c r="Y6" i="35"/>
  <c r="P6" i="35"/>
  <c r="AB1" i="35"/>
  <c r="AA1" i="35"/>
  <c r="Z1" i="35"/>
  <c r="Y1" i="35"/>
  <c r="X1" i="35"/>
  <c r="W1" i="35"/>
  <c r="V1" i="35"/>
  <c r="U1" i="35"/>
  <c r="T1" i="35"/>
  <c r="S1" i="35"/>
  <c r="Y14" i="34" l="1"/>
  <c r="Y12" i="34"/>
  <c r="P12" i="34"/>
  <c r="Y10" i="34"/>
  <c r="P10" i="34"/>
  <c r="Y8" i="34"/>
  <c r="P8" i="34"/>
  <c r="Y6" i="34"/>
  <c r="P6" i="34"/>
  <c r="AB1" i="34"/>
  <c r="AA1" i="34"/>
  <c r="Z1" i="34"/>
  <c r="Y1" i="34"/>
  <c r="X1" i="34"/>
  <c r="W1" i="34"/>
  <c r="V1" i="34"/>
  <c r="U1" i="34"/>
  <c r="T1" i="34"/>
  <c r="S1" i="34"/>
  <c r="S1" i="33" l="1"/>
  <c r="T1" i="33"/>
  <c r="U1" i="33"/>
  <c r="V1" i="33"/>
  <c r="W1" i="33"/>
  <c r="X1" i="33"/>
  <c r="Y1" i="33"/>
  <c r="Z1" i="33"/>
  <c r="AA1" i="33"/>
  <c r="AB1" i="33"/>
  <c r="P6" i="33"/>
  <c r="Y6" i="33"/>
  <c r="P8" i="33"/>
  <c r="Y8" i="33"/>
  <c r="P10" i="33"/>
  <c r="Y10" i="33"/>
  <c r="P12" i="33"/>
  <c r="Y12" i="33"/>
  <c r="Y14" i="33"/>
  <c r="Y14" i="32" l="1"/>
  <c r="Y12" i="32"/>
  <c r="P12" i="32"/>
  <c r="Y10" i="32"/>
  <c r="P10" i="32"/>
  <c r="Y8" i="32"/>
  <c r="P8" i="32"/>
  <c r="Y6" i="32"/>
  <c r="P6" i="32"/>
  <c r="AB1" i="32"/>
  <c r="AA1" i="32"/>
  <c r="Z1" i="32"/>
  <c r="Y1" i="32"/>
  <c r="X1" i="32"/>
  <c r="W1" i="32"/>
  <c r="V1" i="32"/>
  <c r="U1" i="32"/>
  <c r="T1" i="32"/>
  <c r="S1" i="32"/>
  <c r="Y14" i="31" l="1"/>
  <c r="Y12" i="31"/>
  <c r="P12" i="31"/>
  <c r="Y10" i="31"/>
  <c r="P10" i="31"/>
  <c r="Y8" i="31"/>
  <c r="P8" i="31"/>
  <c r="Y6" i="31"/>
  <c r="P6" i="31"/>
  <c r="AB1" i="31"/>
  <c r="AA1" i="31"/>
  <c r="Z1" i="31"/>
  <c r="Y1" i="31"/>
  <c r="X1" i="31"/>
  <c r="W1" i="31"/>
  <c r="V1" i="31"/>
  <c r="U1" i="31"/>
  <c r="T1" i="31"/>
  <c r="S1" i="31"/>
  <c r="Y14" i="30"/>
  <c r="Y12" i="30"/>
  <c r="P12" i="30"/>
  <c r="Y10" i="30"/>
  <c r="P10" i="30"/>
  <c r="Y8" i="30"/>
  <c r="P8" i="30"/>
  <c r="Y6" i="30"/>
  <c r="P6" i="30"/>
  <c r="AB1" i="30"/>
  <c r="AA1" i="30"/>
  <c r="Z1" i="30"/>
  <c r="Y1" i="30"/>
  <c r="X1" i="30"/>
  <c r="W1" i="30"/>
  <c r="V1" i="30"/>
  <c r="U1" i="30"/>
  <c r="T1" i="30"/>
  <c r="S1" i="30"/>
  <c r="AB1" i="50" l="1"/>
  <c r="AA1" i="50"/>
  <c r="Z1" i="50"/>
  <c r="Y1" i="50"/>
  <c r="X1" i="50"/>
  <c r="W1" i="50"/>
  <c r="V1" i="50"/>
  <c r="U1" i="50"/>
  <c r="T1" i="50"/>
  <c r="S1" i="50"/>
  <c r="Y14" i="49"/>
  <c r="Y12" i="49"/>
  <c r="P12" i="49"/>
  <c r="Y10" i="49"/>
  <c r="P10" i="49"/>
  <c r="Y8" i="49"/>
  <c r="P8" i="49"/>
  <c r="Y6" i="49"/>
  <c r="P6" i="49"/>
  <c r="AB1" i="49"/>
  <c r="AA1" i="49"/>
  <c r="Z1" i="49"/>
  <c r="Y1" i="49"/>
  <c r="X1" i="49"/>
  <c r="W1" i="49"/>
  <c r="V1" i="49"/>
  <c r="U1" i="49"/>
  <c r="T1" i="49"/>
  <c r="S1" i="49"/>
  <c r="P8" i="50"/>
  <c r="Y6" i="50"/>
  <c r="P6" i="50"/>
  <c r="Y14" i="50"/>
  <c r="Y12" i="50"/>
  <c r="Y10" i="50"/>
  <c r="P12" i="50"/>
  <c r="P10" i="50"/>
  <c r="Y8" i="50"/>
  <c r="Q28" i="48" l="1"/>
  <c r="Y14" i="48" s="1"/>
  <c r="AB1" i="48"/>
  <c r="AA1" i="48"/>
  <c r="Z1" i="48"/>
  <c r="Y1" i="48"/>
  <c r="X1" i="48"/>
  <c r="W1" i="48"/>
  <c r="V1" i="48"/>
  <c r="U1" i="48"/>
  <c r="T1" i="48"/>
  <c r="S1" i="48"/>
  <c r="Q28" i="47"/>
  <c r="Y10" i="47" s="1"/>
  <c r="P12" i="47"/>
  <c r="AB1" i="47"/>
  <c r="AA1" i="47"/>
  <c r="Z1" i="47"/>
  <c r="Y1" i="47"/>
  <c r="X1" i="47"/>
  <c r="W1" i="47"/>
  <c r="V1" i="47"/>
  <c r="U1" i="47"/>
  <c r="T1" i="47"/>
  <c r="S1" i="47"/>
  <c r="Y6" i="48" l="1"/>
  <c r="P8" i="48"/>
  <c r="Y8" i="48"/>
  <c r="P10" i="48"/>
  <c r="Y10" i="48"/>
  <c r="P12" i="48"/>
  <c r="Y12" i="48"/>
  <c r="P6" i="48"/>
  <c r="Y12" i="47"/>
  <c r="Y6" i="47"/>
  <c r="P8" i="47"/>
  <c r="Y8" i="47"/>
  <c r="P10" i="47"/>
  <c r="P6" i="47"/>
  <c r="Y14" i="47"/>
  <c r="Y14" i="46" l="1"/>
  <c r="Y12" i="46"/>
  <c r="P12" i="46"/>
  <c r="Y10" i="46"/>
  <c r="P10" i="46"/>
  <c r="Y8" i="46"/>
  <c r="P8" i="46"/>
  <c r="Y6" i="46"/>
  <c r="P6" i="46"/>
  <c r="AB1" i="46"/>
  <c r="AA1" i="46"/>
  <c r="Z1" i="46"/>
  <c r="Y1" i="46"/>
  <c r="X1" i="46"/>
  <c r="W1" i="46"/>
  <c r="V1" i="46"/>
  <c r="U1" i="46"/>
  <c r="T1" i="46"/>
  <c r="S1" i="46"/>
  <c r="Y14" i="45" l="1"/>
  <c r="Y12" i="45"/>
  <c r="P12" i="45"/>
  <c r="Y10" i="45"/>
  <c r="P10" i="45"/>
  <c r="Y8" i="45"/>
  <c r="P8" i="45"/>
  <c r="Y6" i="45"/>
  <c r="P6" i="45"/>
  <c r="AB1" i="45"/>
  <c r="AA1" i="45"/>
  <c r="Z1" i="45"/>
  <c r="Y1" i="45"/>
  <c r="X1" i="45"/>
  <c r="W1" i="45"/>
  <c r="V1" i="45"/>
  <c r="U1" i="45"/>
  <c r="T1" i="45"/>
  <c r="S1" i="45"/>
  <c r="B29" i="44" l="1"/>
  <c r="B28" i="44"/>
  <c r="B27" i="44"/>
  <c r="B26" i="44"/>
  <c r="B25" i="44"/>
  <c r="B24" i="44"/>
  <c r="B23" i="44"/>
  <c r="B22" i="44"/>
  <c r="B21" i="44"/>
  <c r="B20" i="44"/>
  <c r="B19" i="44"/>
  <c r="B18" i="44"/>
  <c r="B17" i="44"/>
  <c r="B16" i="44"/>
  <c r="B15" i="44"/>
  <c r="B14" i="44"/>
  <c r="B13" i="44"/>
  <c r="B12" i="44"/>
  <c r="B11" i="44"/>
  <c r="B10" i="44"/>
  <c r="B9" i="44"/>
  <c r="B8" i="44"/>
  <c r="B7" i="44"/>
  <c r="Z14" i="44" s="1"/>
  <c r="B6" i="44"/>
  <c r="B5" i="44"/>
  <c r="B4" i="44"/>
  <c r="Z12" i="44" s="1"/>
  <c r="AC1" i="44"/>
  <c r="AB1" i="44"/>
  <c r="AA1" i="44"/>
  <c r="Z1" i="44"/>
  <c r="Y1" i="44"/>
  <c r="X1" i="44"/>
  <c r="W1" i="44"/>
  <c r="V1" i="44"/>
  <c r="U1" i="44"/>
  <c r="T1" i="44"/>
  <c r="Q6" i="44" l="1"/>
  <c r="Q10" i="44"/>
  <c r="Z6" i="44"/>
  <c r="Z10" i="44"/>
  <c r="Q8" i="44"/>
  <c r="Q12" i="44"/>
  <c r="Z8" i="44"/>
  <c r="A30" i="43" l="1"/>
  <c r="A29" i="43"/>
  <c r="A28" i="43"/>
  <c r="A27" i="43"/>
  <c r="A26" i="43"/>
  <c r="A25" i="43"/>
  <c r="A24" i="43"/>
  <c r="A23" i="43"/>
  <c r="A22" i="43"/>
  <c r="A21" i="43"/>
  <c r="A20" i="43"/>
  <c r="A19" i="43"/>
  <c r="A18" i="43"/>
  <c r="A17" i="43"/>
  <c r="A16" i="43"/>
  <c r="A15" i="43"/>
  <c r="A14" i="43"/>
  <c r="A6" i="43"/>
  <c r="A7" i="43" s="1"/>
  <c r="A8" i="43" s="1"/>
  <c r="A9" i="43" s="1"/>
  <c r="A10" i="43" s="1"/>
  <c r="A11" i="43" s="1"/>
  <c r="A12" i="43" s="1"/>
  <c r="A13" i="43" s="1"/>
  <c r="AC1" i="43"/>
  <c r="AB1" i="43"/>
  <c r="AA1" i="43"/>
  <c r="Z1" i="43"/>
  <c r="Y1" i="43"/>
  <c r="X1" i="43"/>
  <c r="W1" i="43"/>
  <c r="V1" i="43"/>
  <c r="U1" i="43"/>
  <c r="T1" i="43"/>
  <c r="Q8" i="43" l="1"/>
  <c r="Q12" i="43"/>
  <c r="Z16" i="43"/>
  <c r="Z10" i="43"/>
  <c r="Z8" i="43"/>
  <c r="Z14" i="43"/>
  <c r="Z12" i="43"/>
  <c r="Q10" i="43"/>
  <c r="Q14" i="43"/>
  <c r="A30" i="42" l="1"/>
  <c r="A29" i="42"/>
  <c r="A28" i="42"/>
  <c r="A27" i="42"/>
  <c r="A26" i="42"/>
  <c r="A25" i="42"/>
  <c r="A24" i="42"/>
  <c r="A23" i="42"/>
  <c r="A22" i="42"/>
  <c r="A21" i="42"/>
  <c r="A20" i="42"/>
  <c r="A19" i="42"/>
  <c r="A18" i="42"/>
  <c r="A17" i="42"/>
  <c r="A16" i="42"/>
  <c r="A15" i="42"/>
  <c r="A14" i="42"/>
  <c r="A13" i="42"/>
  <c r="A12" i="42"/>
  <c r="A4" i="42"/>
  <c r="AC1" i="42"/>
  <c r="AB1" i="42"/>
  <c r="AA1" i="42"/>
  <c r="Z1" i="42"/>
  <c r="Y1" i="42"/>
  <c r="X1" i="42"/>
  <c r="W1" i="42"/>
  <c r="V1" i="42"/>
  <c r="U1" i="42"/>
  <c r="T1" i="42"/>
  <c r="A5" i="42" l="1"/>
  <c r="A6" i="42" l="1"/>
  <c r="A7" i="42" s="1"/>
  <c r="A8" i="42" s="1"/>
  <c r="A9" i="42" s="1"/>
  <c r="A10" i="42" s="1"/>
  <c r="A11" i="42" s="1"/>
  <c r="Q12" i="42"/>
  <c r="Z12" i="42"/>
  <c r="Z8" i="42"/>
  <c r="Z10" i="42"/>
  <c r="Y14" i="41"/>
  <c r="Y12" i="41"/>
  <c r="P12" i="41"/>
  <c r="Y10" i="41"/>
  <c r="P10" i="41"/>
  <c r="Y8" i="41"/>
  <c r="P8" i="41"/>
  <c r="Y6" i="41"/>
  <c r="P6" i="41"/>
  <c r="AB1" i="41"/>
  <c r="AA1" i="41"/>
  <c r="Z1" i="41"/>
  <c r="Y1" i="41"/>
  <c r="X1" i="41"/>
  <c r="W1" i="41"/>
  <c r="V1" i="41"/>
  <c r="U1" i="41"/>
  <c r="T1" i="41"/>
  <c r="S1" i="41"/>
  <c r="Q8" i="42" l="1"/>
  <c r="Z14" i="42"/>
  <c r="Q6" i="42"/>
  <c r="Z6" i="42"/>
  <c r="Q10" i="42"/>
  <c r="Y14" i="61"/>
  <c r="Y12" i="61"/>
  <c r="P12" i="61"/>
  <c r="Y10" i="61"/>
  <c r="P10" i="61"/>
  <c r="Y8" i="61"/>
  <c r="P8" i="61"/>
  <c r="Y6" i="61"/>
  <c r="P6" i="61"/>
  <c r="AB1" i="61"/>
  <c r="AA1" i="61"/>
  <c r="Z1" i="61"/>
  <c r="Y1" i="61"/>
  <c r="X1" i="61"/>
  <c r="W1" i="61"/>
  <c r="V1" i="61"/>
  <c r="U1" i="61"/>
  <c r="T1" i="61"/>
  <c r="S1" i="61"/>
  <c r="Y14" i="60" l="1"/>
  <c r="Y12" i="60"/>
  <c r="P12" i="60"/>
  <c r="Y10" i="60"/>
  <c r="P10" i="60"/>
  <c r="Y8" i="60"/>
  <c r="P8" i="60"/>
  <c r="Y6" i="60"/>
  <c r="P6" i="60"/>
  <c r="AB1" i="60"/>
  <c r="AA1" i="60"/>
  <c r="Z1" i="60"/>
  <c r="Y1" i="60"/>
  <c r="X1" i="60"/>
  <c r="W1" i="60"/>
  <c r="V1" i="60"/>
  <c r="U1" i="60"/>
  <c r="T1" i="60"/>
  <c r="S1" i="60"/>
  <c r="AB1" i="59" l="1"/>
  <c r="AA1" i="59"/>
  <c r="Z1" i="59"/>
  <c r="Y1" i="59"/>
  <c r="X1" i="59"/>
  <c r="W1" i="59"/>
  <c r="V1" i="59"/>
  <c r="U1" i="59"/>
  <c r="T1" i="59"/>
  <c r="S1" i="59"/>
  <c r="P6" i="59" l="1"/>
  <c r="Y6" i="59"/>
  <c r="P8" i="59"/>
  <c r="Y14" i="59"/>
  <c r="Y8" i="59"/>
  <c r="P10" i="59"/>
  <c r="Y10" i="59"/>
  <c r="P12" i="59"/>
  <c r="Y12" i="59"/>
  <c r="Y16" i="58" l="1"/>
  <c r="Y14" i="58"/>
  <c r="P14" i="58"/>
  <c r="Y12" i="58"/>
  <c r="P12" i="58"/>
  <c r="Y10" i="58"/>
  <c r="P10" i="58"/>
  <c r="Y8" i="58"/>
  <c r="P8" i="58"/>
  <c r="AB3" i="58"/>
  <c r="AA3" i="58"/>
  <c r="Z3" i="58"/>
  <c r="Y3" i="58"/>
  <c r="X3" i="58"/>
  <c r="W3" i="58"/>
  <c r="V3" i="58"/>
  <c r="U3" i="58"/>
  <c r="T3" i="58"/>
  <c r="S3" i="58"/>
  <c r="Y14" i="57" l="1"/>
  <c r="Y12" i="57"/>
  <c r="P12" i="57"/>
  <c r="Y10" i="57"/>
  <c r="P10" i="57"/>
  <c r="Y8" i="57"/>
  <c r="P8" i="57"/>
  <c r="Y6" i="57"/>
  <c r="P6" i="57"/>
  <c r="AB1" i="57"/>
  <c r="AA1" i="57"/>
  <c r="Z1" i="57"/>
  <c r="Y1" i="57"/>
  <c r="X1" i="57"/>
  <c r="W1" i="57"/>
  <c r="V1" i="57"/>
  <c r="U1" i="57"/>
  <c r="T1" i="57"/>
  <c r="S1" i="57"/>
  <c r="A29" i="56" l="1"/>
  <c r="A28" i="56"/>
  <c r="A27" i="56"/>
  <c r="A26" i="56"/>
  <c r="A25" i="56"/>
  <c r="A24" i="56"/>
  <c r="A23" i="56"/>
  <c r="A22" i="56"/>
  <c r="A21" i="56"/>
  <c r="A20" i="56"/>
  <c r="A19" i="56"/>
  <c r="A18" i="56"/>
  <c r="A17" i="56"/>
  <c r="A16" i="56"/>
  <c r="A15" i="56"/>
  <c r="A14" i="56"/>
  <c r="A13" i="56"/>
  <c r="A12" i="56"/>
  <c r="A11" i="56"/>
  <c r="A6" i="56"/>
  <c r="A5" i="56"/>
  <c r="A4" i="56"/>
  <c r="A32" i="55"/>
  <c r="A31" i="55"/>
  <c r="A30" i="55"/>
  <c r="A29" i="55"/>
  <c r="A28" i="55"/>
  <c r="A27" i="55"/>
  <c r="A26" i="55"/>
  <c r="A25" i="55"/>
  <c r="A24" i="55"/>
  <c r="A23" i="55"/>
  <c r="A22" i="55"/>
  <c r="A21" i="55"/>
  <c r="A20" i="55"/>
  <c r="A19" i="55"/>
  <c r="A18" i="55"/>
  <c r="A17" i="55"/>
  <c r="A16" i="55"/>
  <c r="A15" i="55"/>
  <c r="A14" i="55"/>
  <c r="A13" i="55"/>
  <c r="A12" i="55"/>
  <c r="A11" i="55"/>
  <c r="A4" i="55"/>
  <c r="Y14" i="54"/>
  <c r="Y12" i="54"/>
  <c r="P12" i="54"/>
  <c r="Y10" i="54"/>
  <c r="P10" i="54"/>
  <c r="Y8" i="54"/>
  <c r="P8" i="54"/>
  <c r="Y6" i="54"/>
  <c r="P6" i="54"/>
  <c r="AB1" i="54"/>
  <c r="AA1" i="54"/>
  <c r="Z1" i="54"/>
  <c r="Y1" i="54"/>
  <c r="X1" i="54"/>
  <c r="W1" i="54"/>
  <c r="V1" i="54"/>
  <c r="U1" i="54"/>
  <c r="T1" i="54"/>
  <c r="S1" i="54"/>
  <c r="A7" i="56" l="1"/>
  <c r="A8" i="56" s="1"/>
  <c r="A6" i="55"/>
  <c r="A5" i="55"/>
  <c r="A10" i="56" l="1"/>
  <c r="Y1" i="56" s="1"/>
  <c r="A9" i="56"/>
  <c r="S1" i="56" s="1"/>
  <c r="A7" i="55"/>
  <c r="AA1" i="56" l="1"/>
  <c r="U1" i="56"/>
  <c r="W1" i="56"/>
  <c r="T1" i="56"/>
  <c r="C2" i="56"/>
  <c r="AB1" i="56"/>
  <c r="X1" i="56"/>
  <c r="V1" i="56"/>
  <c r="Z1" i="56"/>
  <c r="A8" i="55"/>
  <c r="A9" i="55"/>
  <c r="A10" i="55" l="1"/>
  <c r="W1" i="55" s="1"/>
  <c r="P8" i="56"/>
  <c r="Y12" i="56"/>
  <c r="Y10" i="56"/>
  <c r="Y14" i="56"/>
  <c r="P6" i="56"/>
  <c r="P10" i="56"/>
  <c r="Y8" i="56"/>
  <c r="P12" i="56"/>
  <c r="Y6" i="56"/>
  <c r="X1" i="55" l="1"/>
  <c r="V1" i="55"/>
  <c r="Y1" i="55"/>
  <c r="S1" i="55"/>
  <c r="AB1" i="55"/>
  <c r="C2" i="55"/>
  <c r="Z1" i="55"/>
  <c r="T1" i="55"/>
  <c r="U1" i="55"/>
  <c r="AA1" i="55"/>
  <c r="Y12" i="55" l="1"/>
  <c r="Y10" i="55"/>
  <c r="Y6" i="55"/>
  <c r="Y14" i="55"/>
  <c r="P10" i="55"/>
  <c r="P6" i="55"/>
  <c r="Y8" i="55"/>
  <c r="P12" i="55"/>
  <c r="P8" i="55"/>
  <c r="Y14" i="53" l="1"/>
  <c r="Y12" i="53"/>
  <c r="P12" i="53"/>
  <c r="Y10" i="53"/>
  <c r="P10" i="53"/>
  <c r="Y8" i="53"/>
  <c r="P8" i="53"/>
  <c r="Y6" i="53"/>
  <c r="P6" i="53"/>
  <c r="AB1" i="53"/>
  <c r="AA1" i="53"/>
  <c r="Z1" i="53"/>
  <c r="Y1" i="53"/>
  <c r="X1" i="53"/>
  <c r="W1" i="53"/>
  <c r="V1" i="53"/>
  <c r="U1" i="53"/>
  <c r="T1" i="53"/>
  <c r="S1" i="53"/>
  <c r="B28" i="52" l="1"/>
  <c r="AB1" i="52" s="1"/>
  <c r="B27" i="52"/>
  <c r="B26" i="52"/>
  <c r="B25" i="52"/>
  <c r="B24" i="52"/>
  <c r="B23" i="52"/>
  <c r="B22" i="52"/>
  <c r="B21" i="52"/>
  <c r="B20" i="52"/>
  <c r="B19" i="52"/>
  <c r="B18" i="52"/>
  <c r="B17" i="52"/>
  <c r="B16" i="52"/>
  <c r="B15" i="52"/>
  <c r="B14" i="52"/>
  <c r="B13" i="52"/>
  <c r="B12" i="52"/>
  <c r="B11" i="52"/>
  <c r="B10" i="52"/>
  <c r="B9" i="52"/>
  <c r="B8" i="52"/>
  <c r="B7" i="52"/>
  <c r="B6" i="52"/>
  <c r="B5" i="52"/>
  <c r="B4" i="52"/>
  <c r="Z12" i="52" s="1"/>
  <c r="AC1" i="52"/>
  <c r="AA1" i="52"/>
  <c r="Y1" i="52"/>
  <c r="W1" i="52"/>
  <c r="V1" i="52"/>
  <c r="U1" i="52"/>
  <c r="Z8" i="52" l="1"/>
  <c r="X1" i="52"/>
  <c r="Q6" i="52"/>
  <c r="Q10" i="52"/>
  <c r="Z14" i="52"/>
  <c r="Z1" i="52"/>
  <c r="Z6" i="52"/>
  <c r="Z10" i="52"/>
  <c r="T1" i="52"/>
  <c r="Q8" i="52"/>
  <c r="Q12" i="52"/>
  <c r="K28" i="51" l="1"/>
  <c r="K27" i="51"/>
  <c r="K26" i="51"/>
  <c r="K25" i="51"/>
  <c r="K24" i="51"/>
  <c r="K23" i="51"/>
  <c r="K22" i="51"/>
  <c r="K21" i="51"/>
  <c r="K20" i="51"/>
  <c r="K19" i="51"/>
  <c r="K18" i="51"/>
  <c r="K17" i="51"/>
  <c r="K16" i="51"/>
  <c r="K15" i="51"/>
  <c r="K14" i="51"/>
  <c r="K13" i="51"/>
  <c r="K12" i="51"/>
  <c r="K11" i="51"/>
  <c r="K10" i="51"/>
  <c r="K9" i="51"/>
  <c r="K8" i="51"/>
  <c r="K7" i="51"/>
  <c r="Y6" i="51"/>
  <c r="K6" i="51"/>
  <c r="K5" i="51"/>
  <c r="K4" i="51"/>
  <c r="P12" i="51" s="1"/>
  <c r="AB1" i="51"/>
  <c r="AA1" i="51"/>
  <c r="Z1" i="51"/>
  <c r="Y1" i="51"/>
  <c r="X1" i="51"/>
  <c r="W1" i="51"/>
  <c r="V1" i="51"/>
  <c r="U1" i="51"/>
  <c r="T1" i="51"/>
  <c r="S1" i="51"/>
  <c r="Y12" i="51" l="1"/>
  <c r="Y8" i="51"/>
  <c r="P6" i="51"/>
  <c r="P10" i="51"/>
  <c r="Y14" i="51"/>
  <c r="Y10" i="51"/>
  <c r="P8" i="51"/>
  <c r="AG32" i="29" l="1"/>
  <c r="AG31" i="29"/>
  <c r="AG30" i="29"/>
  <c r="AG29" i="29"/>
  <c r="AG28" i="29"/>
  <c r="AG27" i="29"/>
  <c r="AG26" i="29"/>
  <c r="AG25" i="29"/>
  <c r="AG24" i="29"/>
  <c r="AG23" i="29"/>
  <c r="AG22" i="29"/>
  <c r="AG21" i="29"/>
  <c r="AG20" i="29"/>
  <c r="AG19" i="29"/>
  <c r="AG18" i="29"/>
  <c r="AG17" i="29"/>
  <c r="AG16" i="29"/>
  <c r="AG15" i="29"/>
  <c r="AG14" i="29"/>
  <c r="AG13" i="29"/>
  <c r="AG12" i="29"/>
  <c r="AG11" i="29"/>
  <c r="AG10" i="29"/>
  <c r="AG9" i="29"/>
  <c r="AG8" i="29"/>
  <c r="AG7" i="29"/>
  <c r="AG3" i="29" s="1"/>
  <c r="AG6" i="29"/>
  <c r="AG5" i="29"/>
  <c r="AG4" i="29"/>
  <c r="AB1" i="29"/>
  <c r="AA1" i="29"/>
  <c r="Z1" i="29"/>
  <c r="Y1" i="29"/>
  <c r="X1" i="29"/>
  <c r="W1" i="29"/>
  <c r="V1" i="29"/>
  <c r="U1" i="29"/>
  <c r="T1" i="29"/>
  <c r="S1" i="29"/>
  <c r="P5" i="40"/>
  <c r="Y10" i="29" l="1"/>
  <c r="Y6" i="29"/>
  <c r="Y14" i="29"/>
  <c r="P10" i="29"/>
  <c r="P6" i="29"/>
  <c r="Y12" i="29"/>
  <c r="P12" i="29"/>
  <c r="P8" i="29"/>
  <c r="Y8" i="29"/>
  <c r="Q5" i="40"/>
  <c r="T14" i="18" l="1" a="1"/>
  <c r="T14" i="18" s="1"/>
  <c r="T12" i="18" a="1"/>
  <c r="T12" i="18" s="1"/>
  <c r="P12" i="18" a="1"/>
  <c r="P12" i="18" s="1"/>
  <c r="T10" i="18" a="1"/>
  <c r="T10" i="18" s="1"/>
  <c r="P10" i="18" a="1"/>
  <c r="P10" i="18" s="1"/>
  <c r="T8" i="18" a="1"/>
  <c r="T8" i="18" s="1"/>
  <c r="P8" i="18" a="1"/>
  <c r="P8" i="18" s="1"/>
  <c r="T6" i="18" a="1"/>
  <c r="T6" i="18" s="1"/>
  <c r="P6" i="18" a="1"/>
  <c r="P6" i="18" s="1"/>
  <c r="T1" i="18"/>
  <c r="S1" i="18"/>
  <c r="R1" i="18"/>
  <c r="Q1" i="18"/>
  <c r="Y6" i="40"/>
  <c r="P10" i="40"/>
  <c r="Y12" i="40"/>
  <c r="Y8" i="40"/>
  <c r="Y14" i="40"/>
  <c r="Y10" i="40"/>
  <c r="P8" i="40"/>
  <c r="P6" i="40"/>
  <c r="P12" i="40"/>
  <c r="A30" i="17" l="1"/>
  <c r="A29" i="17"/>
  <c r="A28" i="17"/>
  <c r="A27" i="17"/>
  <c r="A26" i="17"/>
  <c r="A25" i="17"/>
  <c r="A24" i="17"/>
  <c r="A23" i="17"/>
  <c r="A22" i="17"/>
  <c r="A21" i="17"/>
  <c r="A20" i="17"/>
  <c r="A19" i="17"/>
  <c r="A18" i="17"/>
  <c r="A17" i="17"/>
  <c r="A16" i="17"/>
  <c r="A15" i="17"/>
  <c r="A14" i="17"/>
  <c r="A13" i="17"/>
  <c r="A12" i="17"/>
  <c r="A6" i="17"/>
  <c r="A5" i="17"/>
  <c r="A7" i="17" l="1"/>
  <c r="A8" i="17" l="1"/>
  <c r="A9" i="17" s="1"/>
  <c r="A10" i="17" s="1"/>
  <c r="A11" i="17" s="1"/>
  <c r="Z1" i="17" s="1"/>
  <c r="W1" i="17"/>
  <c r="V1" i="17"/>
  <c r="U1" i="17"/>
  <c r="T1" i="17"/>
  <c r="AA1" i="17"/>
  <c r="S1" i="17"/>
  <c r="Y1" i="17"/>
  <c r="AB1" i="17"/>
  <c r="L2" i="17"/>
  <c r="A30" i="16"/>
  <c r="A29" i="16"/>
  <c r="A28" i="16"/>
  <c r="A27" i="16"/>
  <c r="A26" i="16"/>
  <c r="A25" i="16"/>
  <c r="A24" i="16"/>
  <c r="A23" i="16"/>
  <c r="A22" i="16"/>
  <c r="A21" i="16"/>
  <c r="A20" i="16"/>
  <c r="A19" i="16"/>
  <c r="A18" i="16"/>
  <c r="A17" i="16"/>
  <c r="A16" i="16"/>
  <c r="A15" i="16"/>
  <c r="A14" i="16"/>
  <c r="A13" i="16"/>
  <c r="A12" i="16"/>
  <c r="A11" i="16"/>
  <c r="A10" i="16"/>
  <c r="A9" i="16"/>
  <c r="A8" i="16"/>
  <c r="A7" i="16"/>
  <c r="A6" i="16"/>
  <c r="A5" i="16"/>
  <c r="Z14" i="16" s="1"/>
  <c r="A4" i="16"/>
  <c r="Z12" i="16" s="1"/>
  <c r="AC1" i="16"/>
  <c r="AB1" i="16"/>
  <c r="AA1" i="16"/>
  <c r="Z1" i="16"/>
  <c r="Y1" i="16"/>
  <c r="X1" i="16"/>
  <c r="W1" i="16"/>
  <c r="V1" i="16"/>
  <c r="U1" i="16"/>
  <c r="T1" i="16"/>
  <c r="Y14" i="17" l="1"/>
  <c r="P10" i="17"/>
  <c r="P6" i="17"/>
  <c r="Y10" i="17"/>
  <c r="Y6" i="17"/>
  <c r="Y12" i="17"/>
  <c r="Y8" i="17"/>
  <c r="P12" i="17"/>
  <c r="P8" i="17"/>
  <c r="X1" i="17"/>
  <c r="Q6" i="16"/>
  <c r="Z6" i="16"/>
  <c r="Z10" i="16"/>
  <c r="Q10" i="16"/>
  <c r="Q8" i="16"/>
  <c r="Q12" i="16"/>
  <c r="Z8" i="16"/>
  <c r="A29" i="15" l="1"/>
  <c r="A28" i="15"/>
  <c r="A27" i="15"/>
  <c r="A26" i="15"/>
  <c r="A25" i="15"/>
  <c r="A24" i="15"/>
  <c r="A23" i="15"/>
  <c r="A22" i="15"/>
  <c r="A21" i="15"/>
  <c r="A20" i="15"/>
  <c r="A19" i="15"/>
  <c r="A18" i="15"/>
  <c r="A17" i="15"/>
  <c r="A16" i="15"/>
  <c r="A15" i="15"/>
  <c r="A14" i="15"/>
  <c r="A13" i="15"/>
  <c r="A12" i="15"/>
  <c r="A11" i="15"/>
  <c r="A5" i="15"/>
  <c r="A6" i="15" s="1"/>
  <c r="A7" i="15" s="1"/>
  <c r="A8" i="15" s="1"/>
  <c r="A9" i="15" s="1"/>
  <c r="A10" i="15" s="1"/>
  <c r="V1" i="15" l="1"/>
  <c r="X1" i="15"/>
  <c r="Y1" i="15"/>
  <c r="Z1" i="15"/>
  <c r="S1" i="15"/>
  <c r="AA1" i="15"/>
  <c r="T1" i="15"/>
  <c r="AB1" i="15"/>
  <c r="U1" i="15"/>
  <c r="A2" i="15"/>
  <c r="W1" i="15"/>
  <c r="Y12" i="15" l="1"/>
  <c r="Y8" i="15"/>
  <c r="P12" i="15"/>
  <c r="P8" i="15"/>
  <c r="Y10" i="15"/>
  <c r="Y6" i="15"/>
  <c r="Y14" i="15"/>
  <c r="P10" i="15"/>
  <c r="P6" i="15"/>
  <c r="A29" i="14" l="1"/>
  <c r="A28" i="14"/>
  <c r="A27" i="14"/>
  <c r="A26" i="14"/>
  <c r="A25" i="14"/>
  <c r="A24" i="14"/>
  <c r="A23" i="14"/>
  <c r="A22" i="14"/>
  <c r="A21" i="14"/>
  <c r="A20" i="14"/>
  <c r="A19" i="14"/>
  <c r="A18" i="14"/>
  <c r="A17" i="14"/>
  <c r="A16" i="14"/>
  <c r="A15" i="14"/>
  <c r="A14" i="14"/>
  <c r="A13" i="14"/>
  <c r="A12" i="14"/>
  <c r="A5" i="14"/>
  <c r="A6" i="14" s="1"/>
  <c r="A7" i="14" l="1"/>
  <c r="A8" i="14" s="1"/>
  <c r="A9" i="14" s="1"/>
  <c r="A10" i="14" s="1"/>
  <c r="A11" i="14" s="1"/>
  <c r="U1" i="14" s="1"/>
  <c r="W1" i="14"/>
  <c r="Z1" i="14"/>
  <c r="P6" i="14"/>
  <c r="X1" i="14"/>
  <c r="Y10" i="14"/>
  <c r="AA1" i="14"/>
  <c r="P8" i="14"/>
  <c r="P12" i="14"/>
  <c r="T1" i="14"/>
  <c r="AB1" i="14"/>
  <c r="Y12" i="14"/>
  <c r="V1" i="14"/>
  <c r="S1" i="14" l="1"/>
  <c r="P10" i="14"/>
  <c r="Y1" i="14"/>
  <c r="Y8" i="14"/>
  <c r="Y6" i="14"/>
  <c r="Y14" i="14"/>
  <c r="Y16" i="13" l="1"/>
  <c r="Y14" i="13"/>
  <c r="P14" i="13"/>
  <c r="Y12" i="13"/>
  <c r="P12" i="13"/>
  <c r="Y10" i="13"/>
  <c r="P10" i="13"/>
  <c r="Y8" i="13"/>
  <c r="P8" i="13"/>
  <c r="AB3" i="13"/>
  <c r="AA3" i="13"/>
  <c r="Z3" i="13"/>
  <c r="Y3" i="13"/>
  <c r="X3" i="13"/>
  <c r="W3" i="13"/>
  <c r="V3" i="13"/>
  <c r="U3" i="13"/>
  <c r="T3" i="13"/>
  <c r="S3" i="13"/>
  <c r="Y14" i="12" l="1"/>
  <c r="Y12" i="12"/>
  <c r="P12" i="12"/>
  <c r="Y10" i="12"/>
  <c r="P10" i="12"/>
  <c r="Y8" i="12"/>
  <c r="P8" i="12"/>
  <c r="Y6" i="12"/>
  <c r="P6" i="12"/>
  <c r="AB1" i="12"/>
  <c r="AA1" i="12"/>
  <c r="Z1" i="12"/>
  <c r="Y1" i="12"/>
  <c r="X1" i="12"/>
  <c r="W1" i="12"/>
  <c r="V1" i="12"/>
  <c r="U1" i="12"/>
  <c r="T1" i="12"/>
  <c r="S1" i="12"/>
  <c r="Y14" i="11" l="1"/>
  <c r="Y12" i="11"/>
  <c r="P12" i="11"/>
  <c r="Y10" i="11"/>
  <c r="P10" i="11"/>
  <c r="Y8" i="11"/>
  <c r="P8" i="11"/>
  <c r="Y6" i="11"/>
  <c r="P6" i="11"/>
  <c r="AB1" i="11"/>
  <c r="AA1" i="11"/>
  <c r="Z1" i="11"/>
  <c r="Y1" i="11"/>
  <c r="X1" i="11"/>
  <c r="W1" i="11"/>
  <c r="V1" i="11"/>
  <c r="U1" i="11"/>
  <c r="T1" i="11"/>
  <c r="S1" i="11"/>
  <c r="Y14" i="10" l="1"/>
  <c r="Y12" i="10"/>
  <c r="P12" i="10"/>
  <c r="Y10" i="10"/>
  <c r="P10" i="10"/>
  <c r="Y8" i="10"/>
  <c r="P8" i="10"/>
  <c r="Y6" i="10"/>
  <c r="P6" i="10"/>
  <c r="AB1" i="10"/>
  <c r="AA1" i="10"/>
  <c r="Z1" i="10"/>
  <c r="Y1" i="10"/>
  <c r="X1" i="10"/>
  <c r="W1" i="10"/>
  <c r="V1" i="10"/>
  <c r="U1" i="10"/>
  <c r="T1" i="10"/>
  <c r="S1" i="10"/>
  <c r="Y14" i="9" l="1"/>
  <c r="Y12" i="9"/>
  <c r="P12" i="9"/>
  <c r="Y10" i="9"/>
  <c r="P10" i="9"/>
  <c r="Y8" i="9"/>
  <c r="P8" i="9"/>
  <c r="Y6" i="9"/>
  <c r="P6" i="9"/>
  <c r="AB1" i="9"/>
  <c r="AA1" i="9"/>
  <c r="Z1" i="9"/>
  <c r="Y1" i="9"/>
  <c r="X1" i="9"/>
  <c r="W1" i="9"/>
  <c r="V1" i="9"/>
  <c r="U1" i="9"/>
  <c r="T1" i="9"/>
  <c r="S1" i="9"/>
  <c r="Y14" i="8"/>
  <c r="Y12" i="8"/>
  <c r="P12" i="8"/>
  <c r="Y10" i="8"/>
  <c r="P10" i="8"/>
  <c r="Y8" i="8"/>
  <c r="P8" i="8"/>
  <c r="Y6" i="8"/>
  <c r="P6" i="8"/>
  <c r="AB1" i="8"/>
  <c r="AA1" i="8"/>
  <c r="Z1" i="8"/>
  <c r="Y1" i="8"/>
  <c r="X1" i="8"/>
  <c r="W1" i="8"/>
  <c r="V1" i="8"/>
  <c r="U1" i="8"/>
  <c r="T1" i="8"/>
  <c r="S1" i="8"/>
  <c r="Y14" i="7" l="1"/>
  <c r="Y12" i="7"/>
  <c r="P12" i="7"/>
  <c r="Y10" i="7"/>
  <c r="P10" i="7"/>
  <c r="Y8" i="7"/>
  <c r="P8" i="7"/>
  <c r="Y6" i="7"/>
  <c r="P6" i="7"/>
  <c r="AB1" i="7"/>
  <c r="AA1" i="7"/>
  <c r="Z1" i="7"/>
  <c r="Y1" i="7"/>
  <c r="X1" i="7"/>
  <c r="W1" i="7"/>
  <c r="V1" i="7"/>
  <c r="U1" i="7"/>
  <c r="T1" i="7"/>
  <c r="S1" i="7"/>
  <c r="B29" i="6" l="1"/>
  <c r="B28" i="6"/>
  <c r="B27" i="6"/>
  <c r="B26" i="6"/>
  <c r="B25" i="6"/>
  <c r="B24" i="6"/>
  <c r="B23" i="6"/>
  <c r="B22" i="6"/>
  <c r="B21" i="6"/>
  <c r="B20" i="6"/>
  <c r="B19" i="6"/>
  <c r="B18" i="6"/>
  <c r="B17" i="6"/>
  <c r="B16" i="6"/>
  <c r="B15" i="6"/>
  <c r="B14" i="6"/>
  <c r="B13" i="6"/>
  <c r="B12" i="6"/>
  <c r="B11" i="6"/>
  <c r="Z10" i="6"/>
  <c r="B10" i="6"/>
  <c r="B9" i="6"/>
  <c r="Q8" i="6"/>
  <c r="B8" i="6"/>
  <c r="B7" i="6"/>
  <c r="Z6" i="6"/>
  <c r="B6" i="6"/>
  <c r="B5" i="6"/>
  <c r="Q12" i="6" s="1"/>
  <c r="B4" i="6"/>
  <c r="Z12" i="6" s="1"/>
  <c r="AC1" i="6"/>
  <c r="AB1" i="6"/>
  <c r="AA1" i="6"/>
  <c r="Z1" i="6"/>
  <c r="Y1" i="6"/>
  <c r="X1" i="6"/>
  <c r="W1" i="6"/>
  <c r="V1" i="6"/>
  <c r="U1" i="6"/>
  <c r="T1" i="6"/>
  <c r="Q6" i="6" l="1"/>
  <c r="Q10" i="6"/>
  <c r="Z14" i="6"/>
  <c r="Z8" i="6"/>
  <c r="S1" i="5" l="1"/>
  <c r="T1" i="5"/>
  <c r="U1" i="5"/>
  <c r="V1" i="5"/>
  <c r="W1" i="5"/>
  <c r="X1" i="5"/>
  <c r="Y1" i="5"/>
  <c r="P6" i="5"/>
  <c r="Y6" i="5"/>
  <c r="P8" i="5"/>
  <c r="Y8" i="5"/>
  <c r="P10" i="5"/>
  <c r="Y10" i="5"/>
  <c r="P12" i="5"/>
  <c r="Y12" i="5"/>
  <c r="Y14" i="5"/>
  <c r="A12" i="4" l="1"/>
  <c r="A27" i="4"/>
  <c r="A26" i="4"/>
  <c r="A25" i="4"/>
  <c r="A24" i="4"/>
  <c r="A23" i="4"/>
  <c r="A22" i="4"/>
  <c r="A21" i="4"/>
  <c r="A20" i="4"/>
  <c r="A19" i="4"/>
  <c r="A18" i="4"/>
  <c r="A17" i="4"/>
  <c r="A16" i="4"/>
  <c r="A15" i="4"/>
  <c r="A14" i="4"/>
  <c r="A13" i="4"/>
  <c r="A4" i="4"/>
  <c r="A5" i="4" l="1"/>
  <c r="A6" i="4" l="1"/>
  <c r="A7" i="4" l="1"/>
  <c r="A8" i="4" l="1"/>
  <c r="Y12" i="2"/>
  <c r="Y10" i="2"/>
  <c r="P10" i="2"/>
  <c r="Y8" i="2"/>
  <c r="P8" i="2"/>
  <c r="Y6" i="2"/>
  <c r="P6" i="2"/>
  <c r="Y4" i="2"/>
  <c r="P4" i="2"/>
  <c r="Y12" i="3"/>
  <c r="P12" i="3"/>
  <c r="A11" i="3"/>
  <c r="Y10" i="3"/>
  <c r="P10" i="3"/>
  <c r="A10" i="3"/>
  <c r="A9" i="3"/>
  <c r="Y8" i="3"/>
  <c r="P8" i="3"/>
  <c r="A8" i="3"/>
  <c r="Z1" i="3" s="1"/>
  <c r="A7" i="3"/>
  <c r="Y6" i="3"/>
  <c r="P6" i="3"/>
  <c r="A6" i="3"/>
  <c r="A5" i="3"/>
  <c r="A4" i="3"/>
  <c r="W1" i="3" s="1"/>
  <c r="AA1" i="3"/>
  <c r="Y1" i="3"/>
  <c r="X1" i="3"/>
  <c r="S1" i="3"/>
  <c r="A9" i="4" l="1"/>
  <c r="A10" i="4" s="1"/>
  <c r="A11" i="4" s="1"/>
  <c r="AA1" i="4" s="1"/>
  <c r="U1" i="4"/>
  <c r="T1" i="3"/>
  <c r="AB1" i="3"/>
  <c r="U1" i="3"/>
  <c r="V1" i="3"/>
  <c r="Y1" i="4" l="1"/>
  <c r="P12" i="4"/>
  <c r="Y8" i="4"/>
  <c r="X1" i="4"/>
  <c r="AB1" i="4"/>
  <c r="W1" i="4"/>
  <c r="S1" i="4"/>
  <c r="Z1" i="4"/>
  <c r="Y6" i="4"/>
  <c r="P10" i="4"/>
  <c r="T1" i="4"/>
  <c r="Y12" i="4"/>
  <c r="P8" i="4"/>
  <c r="Y10" i="4"/>
  <c r="V1" i="4"/>
  <c r="P6" i="4"/>
  <c r="Y14" i="4"/>
</calcChain>
</file>

<file path=xl/comments1.xml><?xml version="1.0" encoding="utf-8"?>
<comments xmlns="http://schemas.openxmlformats.org/spreadsheetml/2006/main">
  <authors>
    <author>Kyle Vrabac</author>
  </authors>
  <commentList>
    <comment ref="P5" authorId="0" shapeId="0">
      <text>
        <r>
          <rPr>
            <b/>
            <sz val="9"/>
            <color indexed="81"/>
            <rFont val="Calibri"/>
            <family val="2"/>
          </rPr>
          <t>Kyle Vrabac:</t>
        </r>
        <r>
          <rPr>
            <sz val="9"/>
            <color indexed="81"/>
            <rFont val="Calibri"/>
            <family val="2"/>
          </rPr>
          <t xml:space="preserve">
Find Header Row</t>
        </r>
      </text>
    </comment>
    <comment ref="Q5" authorId="0" shapeId="0">
      <text>
        <r>
          <rPr>
            <b/>
            <sz val="9"/>
            <color indexed="81"/>
            <rFont val="Calibri"/>
            <family val="2"/>
          </rPr>
          <t>Kyle Vrabac:</t>
        </r>
        <r>
          <rPr>
            <sz val="9"/>
            <color indexed="81"/>
            <rFont val="Calibri"/>
            <family val="2"/>
          </rPr>
          <t xml:space="preserve">
Column Header "Number" value for last row of information</t>
        </r>
      </text>
    </comment>
  </commentList>
</comments>
</file>

<file path=xl/sharedStrings.xml><?xml version="1.0" encoding="utf-8"?>
<sst xmlns="http://schemas.openxmlformats.org/spreadsheetml/2006/main" count="5459" uniqueCount="521">
  <si>
    <t>Summary of the Solutions Submitted</t>
  </si>
  <si>
    <t>Name</t>
  </si>
  <si>
    <t>Functions Used</t>
  </si>
  <si>
    <t>INDEX, COUNTA</t>
  </si>
  <si>
    <t>Last Name Formula</t>
  </si>
  <si>
    <t>Pension Balance Formula</t>
  </si>
  <si>
    <t>=INDEX($J$4:$J$104,COUNTA($J$4:$J$104))</t>
  </si>
  <si>
    <t>Outside Formula</t>
  </si>
  <si>
    <t>=INDEX($B$4:$B$104,COUNTA($B$4:$B$104))</t>
  </si>
  <si>
    <t>None</t>
  </si>
  <si>
    <t>Comment</t>
  </si>
  <si>
    <t>Submitted three different solutions</t>
  </si>
  <si>
    <t>=INDEX($B$4:$B$105,COUNTA($B$4:$B$105))</t>
  </si>
  <si>
    <t>=TEXT(INDEX($J$4:$J$105,COUNTA($J$4:$J$105)),"$#,###,###.##")</t>
  </si>
  <si>
    <t>INDEX, COUNTA, TEXT</t>
  </si>
  <si>
    <t>INDEX, TEXT</t>
  </si>
  <si>
    <t>=INDEX($B$4:$B$105,$C$2)</t>
  </si>
  <si>
    <t>=TEXT(INDEX($J$4:$J$105,$C$2),"$#,###.##")</t>
  </si>
  <si>
    <t>INDEX, TEXT, MAX</t>
  </si>
  <si>
    <t>=MAX(A4:A105)+3</t>
  </si>
  <si>
    <t>=INDIRECT("B"&amp;$C$2)</t>
  </si>
  <si>
    <t>=TEXT(INDIRECT("J"&amp;$C$2),"$#,###.##")</t>
  </si>
  <si>
    <t>VLOOKUP, COUNT</t>
  </si>
  <si>
    <t>Table Used?</t>
  </si>
  <si>
    <t>No</t>
  </si>
  <si>
    <t>Yes</t>
  </si>
  <si>
    <t>B</t>
  </si>
  <si>
    <t>=VLOOKUP((COUNT(Table1[[#All],[Number]])),Table1,2)</t>
  </si>
  <si>
    <t>=TEXT(VLOOKUP((COUNT(Table1[[#All],[Number]])),Table1,10),"$#,##0.00")</t>
  </si>
  <si>
    <t>Date</t>
  </si>
  <si>
    <t>=INDEX(B:B, COUNTA(B:B), 1)</t>
  </si>
  <si>
    <t>=INDEX(J:J, COUNTA(J:J), 1)</t>
  </si>
  <si>
    <t>First answer submitted</t>
  </si>
  <si>
    <t>HLOOKUP, ROWS</t>
  </si>
  <si>
    <t>Clever Horizontal Lookup</t>
  </si>
  <si>
    <t>=HLOOKUP("Balance",Table1[#All],ROWS(Table1)+1,FALSE)</t>
  </si>
  <si>
    <t>=HLOOKUP(M6,Table1[#All],ROWS(Table1)+1,FALSE)</t>
  </si>
  <si>
    <t>Please add new participants by entering data in next row of table, starting with the "Last Name" column.</t>
  </si>
  <si>
    <t>Number</t>
  </si>
  <si>
    <t>Last Name</t>
  </si>
  <si>
    <t>First Name</t>
  </si>
  <si>
    <t>Address</t>
  </si>
  <si>
    <t>City</t>
  </si>
  <si>
    <t>State</t>
  </si>
  <si>
    <t>Zip</t>
  </si>
  <si>
    <t>Phone</t>
  </si>
  <si>
    <t>Pension Plan</t>
  </si>
  <si>
    <t>Balance</t>
  </si>
  <si>
    <t>Bauchman</t>
  </si>
  <si>
    <t>Stan</t>
  </si>
  <si>
    <t>100 Peachtree Street</t>
  </si>
  <si>
    <t>Atlanta</t>
  </si>
  <si>
    <t>GA</t>
  </si>
  <si>
    <t>770.842.5902</t>
  </si>
  <si>
    <t>Plan A</t>
  </si>
  <si>
    <t>EMPLOYEE PENSION PLAN SUMMARY REPORT</t>
  </si>
  <si>
    <t>Motroson</t>
  </si>
  <si>
    <t>Mickey</t>
  </si>
  <si>
    <t>777 Marathon Drive</t>
  </si>
  <si>
    <t>770.555.5903</t>
  </si>
  <si>
    <t>Plan B</t>
  </si>
  <si>
    <t>Davenport</t>
  </si>
  <si>
    <t>Donald</t>
  </si>
  <si>
    <t>96 Thompson Rd</t>
  </si>
  <si>
    <t>770.555.5904</t>
  </si>
  <si>
    <t>Plan C</t>
  </si>
  <si>
    <t>Phillips</t>
  </si>
  <si>
    <t>Bessie</t>
  </si>
  <si>
    <t>822 Pleasant Place</t>
  </si>
  <si>
    <t>770.555.5905</t>
  </si>
  <si>
    <t>Smith</t>
  </si>
  <si>
    <t>Sandra</t>
  </si>
  <si>
    <t>104 Peachtree Street</t>
  </si>
  <si>
    <t>770.555.5906</t>
  </si>
  <si>
    <t>Miller</t>
  </si>
  <si>
    <t>David</t>
  </si>
  <si>
    <t>333 Bay Bridge Street</t>
  </si>
  <si>
    <t>Duluth</t>
  </si>
  <si>
    <t>678.555.4332</t>
  </si>
  <si>
    <t>Collins</t>
  </si>
  <si>
    <t>Carlton</t>
  </si>
  <si>
    <t>Norcross</t>
  </si>
  <si>
    <t xml:space="preserve">GA </t>
  </si>
  <si>
    <t>Damm</t>
  </si>
  <si>
    <t>William</t>
  </si>
  <si>
    <t>555 Melody Lane</t>
  </si>
  <si>
    <t>Fairfield</t>
  </si>
  <si>
    <t>CT</t>
  </si>
  <si>
    <t>800.555.1212</t>
  </si>
  <si>
    <t>Plan Type</t>
  </si>
  <si>
    <t>Pension Plan Balance As of August 31, 2013</t>
  </si>
  <si>
    <t>Please review the above information and let us know if changes are needed.</t>
  </si>
  <si>
    <t>Cook</t>
  </si>
  <si>
    <t>Rich</t>
  </si>
  <si>
    <t>123 Main</t>
  </si>
  <si>
    <t>Dallas</t>
  </si>
  <si>
    <t>TX</t>
  </si>
  <si>
    <t>972.972.9729</t>
  </si>
  <si>
    <t>Plan D</t>
  </si>
  <si>
    <t>Plan</t>
  </si>
  <si>
    <t>VLOOKUP, MAX</t>
  </si>
  <si>
    <t>VLOOKUP, MAX, TEXT</t>
  </si>
  <si>
    <t>=VLOOKUP(MAX(A4:A104),A4:J104,2,)</t>
  </si>
  <si>
    <t>Jones</t>
  </si>
  <si>
    <t>Jeremy</t>
  </si>
  <si>
    <t>PO BOX 250</t>
  </si>
  <si>
    <t>Booneville</t>
  </si>
  <si>
    <t>MS</t>
  </si>
  <si>
    <t>662.728.6235</t>
  </si>
  <si>
    <t>=+INDEX(B:B, COUNTA(B:B)+1,1)</t>
  </si>
  <si>
    <t>=+INDEX(J:J,COUNTA(J:J)+1,1)</t>
  </si>
  <si>
    <t>=TEXT(VLOOKUP(MAX(A4:A104),A4:J104,10,),"$#,###.##")</t>
  </si>
  <si>
    <t>Brocious</t>
  </si>
  <si>
    <t>Jason</t>
  </si>
  <si>
    <t>123 E. Biddle St.</t>
  </si>
  <si>
    <t>Gordon</t>
  </si>
  <si>
    <t>PA</t>
  </si>
  <si>
    <t>570.875.1780</t>
  </si>
  <si>
    <t>=VLOOKUP(1,B3:K104,2,FALSE)</t>
  </si>
  <si>
    <t>=VLOOKUP(1,B3:K104,10,FALSE)</t>
  </si>
  <si>
    <t>Look up Employee #</t>
  </si>
  <si>
    <t>=IF(A4=$R$1,1,IF(AND(C4&lt;&gt;"",C5=""),1,0))</t>
  </si>
  <si>
    <t>VLOOKUP, MAX, IF</t>
  </si>
  <si>
    <t>B, &amp; T thru AC</t>
  </si>
  <si>
    <t>LOOKUP, COUNT, TEXT</t>
  </si>
  <si>
    <t>=LOOKUP(COUNT(G4:G100),A4:A100,B4:B100)</t>
  </si>
  <si>
    <t>=TEXT(LOOKUP(COUNT(G4:G100),A4:A100,J4:J100),"$#,###.##")</t>
  </si>
  <si>
    <t>=VLOOKUP(COUNT($J$4:$J$104),$A$4:$J$104,2,FALSE)</t>
  </si>
  <si>
    <t>=TEXT(VLOOKUP(COUNT($J$4:$J$104),$A$4:$J$104,10,FALSE),"$#,###.##")</t>
  </si>
  <si>
    <t>=INDEX($B$4:$J$65536,COUNTA($B$4:$B$65536),1)</t>
  </si>
  <si>
    <t>=TEXT(INDEX($B$4:$J$65536,COUNTA($B$4:$B$65536),9),"$#,###.##")</t>
  </si>
  <si>
    <t>INDEX, MATCH, REPT</t>
  </si>
  <si>
    <t>=INDEX(B:B,MATCH(REPT("z",255),B:B))</t>
  </si>
  <si>
    <t>=INDEX(J:J,MATCH(9.99999999999999E+307,J:J))</t>
  </si>
  <si>
    <t>Mind boggling - how the heck did she figure this out</t>
  </si>
  <si>
    <t>Mellow</t>
  </si>
  <si>
    <t>Julia</t>
  </si>
  <si>
    <t>899 S Plymouth Ct</t>
  </si>
  <si>
    <t>Chicago</t>
  </si>
  <si>
    <t>IL</t>
  </si>
  <si>
    <t>312.957.1440</t>
  </si>
  <si>
    <t>Plan X</t>
  </si>
  <si>
    <t>HLOOKUP, COUNTA</t>
  </si>
  <si>
    <t>=HLOOKUP(M6,$B$3:$J$1048576,COUNTA($B:$B),FALSE)</t>
  </si>
  <si>
    <t>=HLOOKUP(M14,$B$3:$J$1048576,COUNTA($B:$B),FALSE)</t>
  </si>
  <si>
    <t>Costanza</t>
  </si>
  <si>
    <t>George</t>
  </si>
  <si>
    <t>1344 Queen's Boulevard</t>
  </si>
  <si>
    <t>New York</t>
  </si>
  <si>
    <t>NY</t>
  </si>
  <si>
    <t>212.555.0123</t>
  </si>
  <si>
    <t>INDEX, COUNT, TEXT</t>
  </si>
  <si>
    <t>=INDEX(B:B,COUNT(J:J)+3)</t>
  </si>
  <si>
    <t>=TEXT(INDEX(J:J,COUNT(J:J)+3),"$#,###.##")</t>
  </si>
  <si>
    <t>OFFSET, COUNTA</t>
  </si>
  <si>
    <t>=OFFSET(B5,COUNTA(B:B)-1,0,1,1)</t>
  </si>
  <si>
    <t>=OFFSET(J5,COUNTA(J:J)-1,0,1,1)</t>
  </si>
  <si>
    <t>Lively</t>
  </si>
  <si>
    <t>Travis</t>
  </si>
  <si>
    <t>111 Test Street</t>
  </si>
  <si>
    <t>Greenville</t>
  </si>
  <si>
    <t>SC</t>
  </si>
  <si>
    <t>555-555-5555</t>
  </si>
  <si>
    <t>John</t>
  </si>
  <si>
    <t>999 Somewhere</t>
  </si>
  <si>
    <t>Home</t>
  </si>
  <si>
    <t>999.999.9999</t>
  </si>
  <si>
    <t>=VLOOKUP(MAX($A$4:$A$104),$A$4:$J$104,2,FALSE)</t>
  </si>
  <si>
    <t>=VLOOKUP(MAX($A$4:$A$104),$A$4:$J$104,10,FALSE)</t>
  </si>
  <si>
    <t>VLOOKUP, TEXT, IF</t>
  </si>
  <si>
    <t>=VLOOKUP(A2,$A$4:$J$104,2,FALSE)</t>
  </si>
  <si>
    <t>=TEXT(VLOOKUP(A2,$A$4:$J$104,10,FALSE),"$#,###.##")</t>
  </si>
  <si>
    <t>Lookup</t>
  </si>
  <si>
    <t>=TEXT(VLOOKUP(2,Pensions,11,FALSE),"$#,###.##")</t>
  </si>
  <si>
    <t>=IF(C6&lt;&gt;"",1,2)</t>
  </si>
  <si>
    <t>=VLOOKUP(2,Pensions,3,FALSE)</t>
  </si>
  <si>
    <t>This cell would be hidden</t>
  </si>
  <si>
    <t>Henley</t>
  </si>
  <si>
    <t>Peter</t>
  </si>
  <si>
    <t>1 N. Wacker Dr.</t>
  </si>
  <si>
    <t>312.298.2000</t>
  </si>
  <si>
    <t>=VLOOKUP($L$2,$A:$J,10,FALSE)</t>
  </si>
  <si>
    <t>=VLOOKUP($L$2,$A:$J,2,FALSE)</t>
  </si>
  <si>
    <t>=MAX(A:A)</t>
  </si>
  <si>
    <t>INDEX, MAX, ROW, IF, LEN</t>
  </si>
  <si>
    <t>=INDEX(J$1:J$104,MAX(IF(LEN(J$1:J$104)&gt;0,ROW(J$1:J$104),0)),1)</t>
  </si>
  <si>
    <t>=INDEX(B$1:B$104,MAX(IF(LEN(B$1:B$104)&gt;0,ROW(B$1:B$104),0)),1)</t>
  </si>
  <si>
    <t>VLOOKUP, LARGE, IF, ISBLANK</t>
  </si>
  <si>
    <t>=VLOOKUP($AG$3,$A$4:$J$100000,2,FALSE)</t>
  </si>
  <si>
    <t>=VLOOKUP($AG$3,$A$4:$J$100000,10,FALSE)</t>
  </si>
  <si>
    <t>=IF(ISBLANK(B4),0,A4)</t>
  </si>
  <si>
    <t>=INDIRECT("b"&amp;Q5)</t>
  </si>
  <si>
    <t>=MATCH("Number",INDIRECT("A1:A"&amp;COUNTA(A:A)),FALSE)</t>
  </si>
  <si>
    <t>INDIRECT, MATCH, COUNTA</t>
  </si>
  <si>
    <t>=INDIRECT("j"&amp;Q5)</t>
  </si>
  <si>
    <t>Baggins</t>
  </si>
  <si>
    <t>Bilbo</t>
  </si>
  <si>
    <t>Bag End, Bagshot Row</t>
  </si>
  <si>
    <t>Hobbiton</t>
  </si>
  <si>
    <t>SH</t>
  </si>
  <si>
    <t>01011</t>
  </si>
  <si>
    <t>777-220-9547</t>
  </si>
  <si>
    <t>J</t>
  </si>
  <si>
    <t>OFFSET, MATCH, TEXT</t>
  </si>
  <si>
    <t>=+IF(COUNTA(B5:J5)=9,1,0)</t>
  </si>
  <si>
    <t>=TEXT(OFFSET(B4,MATCH(0,K:K,0)-5,8),"$#,###.00")</t>
  </si>
  <si>
    <t>=+OFFSET(B4,MATCH(0,K:K,0)-5,0)</t>
  </si>
  <si>
    <t>=VLOOKUP("X",$B:$K,2,FALSE)</t>
  </si>
  <si>
    <t>=IF(AND(C12&lt;&gt;"",C13&lt;&gt;""),"","X")</t>
  </si>
  <si>
    <t>VLOOKUP, IF, AND</t>
  </si>
  <si>
    <t>=VLOOKUP("X",$B:$K,10,FALSE)</t>
  </si>
  <si>
    <t>Interesting - Looks for first occurrence of an X, looks like the AND was unnecessary</t>
  </si>
  <si>
    <t xml:space="preserve">When adding additional rows please insert rows above this line.   </t>
  </si>
  <si>
    <t>Last Row of Data =</t>
  </si>
  <si>
    <t>Last Row Numb =</t>
  </si>
  <si>
    <t>Last</t>
  </si>
  <si>
    <t>First</t>
  </si>
  <si>
    <t>12345 Example</t>
  </si>
  <si>
    <t>Adams</t>
  </si>
  <si>
    <t>AZ</t>
  </si>
  <si>
    <t>123-456-7890</t>
  </si>
  <si>
    <t>Plan Z</t>
  </si>
  <si>
    <t>=INDEX($B$3:$J$104,MATCH(REPT("z",255),$B$3:$B$104),MATCH("Balance",$B$3:$J$3,0))</t>
  </si>
  <si>
    <t>=INDEX($B$3:$J$104,MATCH(REPT("z",255),$B$3:$B$104),MATCH(M6,$B$3:$J$3,0))</t>
  </si>
  <si>
    <t>(Asher's Colleague)</t>
  </si>
  <si>
    <t>Data required in which specific  column in order to work?</t>
  </si>
  <si>
    <t>=INDEX(Last_Name,MATCH(COUNTA(Last_Name),Number,0))</t>
  </si>
  <si>
    <t>INDEX, MATCH, COUNTA</t>
  </si>
  <si>
    <t>INDEX, MATCH, COUNTA, TEXT</t>
  </si>
  <si>
    <t>=TEXT(INDEX(Balance,MATCH(COUNTA(Last_Name),Number,0)),"$#,###.##")</t>
  </si>
  <si>
    <t>Kittrell</t>
  </si>
  <si>
    <t>Sharon</t>
  </si>
  <si>
    <t>2635 Century Parkway</t>
  </si>
  <si>
    <t>555.222.1111</t>
  </si>
  <si>
    <t>Plan 9</t>
  </si>
  <si>
    <t>=IF(ISBLANK(INDEX(Table1,Record_Count,2)),"",INDEX(Table1,Record_Count,2))</t>
  </si>
  <si>
    <t>IF, ISBLANK, INDEX</t>
  </si>
  <si>
    <t>=TEXT(INDEX(Table1,Record_Count,10),"$#,###.##")</t>
  </si>
  <si>
    <t>Davison</t>
  </si>
  <si>
    <t>Charles</t>
  </si>
  <si>
    <t>123 Penny Lane</t>
  </si>
  <si>
    <t>Anywhere</t>
  </si>
  <si>
    <t>770.555.1212</t>
  </si>
  <si>
    <t>Inserts "No Data" if none entered, nice touch</t>
  </si>
  <si>
    <t>=OFFSET($A$1,COUNTA($B:$B)+1,1)</t>
  </si>
  <si>
    <t>=IF(OFFSET($A$1,COUNTA($B:$B)+1,9)="","No Data",OFFSET($A$1,COUNTA($B:$B)+1,9))</t>
  </si>
  <si>
    <t>Becker</t>
  </si>
  <si>
    <t>Amy</t>
  </si>
  <si>
    <t>1111 Church Road</t>
  </si>
  <si>
    <t>Aurora</t>
  </si>
  <si>
    <t>630.844.5385</t>
  </si>
  <si>
    <t>Plan ADS</t>
  </si>
  <si>
    <t>=TEXT(INDEX(J:J,MATCH(9.99999999999999E+307,J:J)),"$#,000.00")</t>
  </si>
  <si>
    <t>=OFFSET($B$3,COUNTA($B:$B)-1,0)</t>
  </si>
  <si>
    <t>=OFFSET($B$3,COUNTA($B:$B)-1,8)</t>
  </si>
  <si>
    <t>LaVecchia</t>
  </si>
  <si>
    <t>Anthony</t>
  </si>
  <si>
    <t>123 South Ave</t>
  </si>
  <si>
    <t>Westfield</t>
  </si>
  <si>
    <t>NJ</t>
  </si>
  <si>
    <t>07090</t>
  </si>
  <si>
    <t>908.123.4567</t>
  </si>
  <si>
    <t>=VLOOKUP(MAX($A:$A),$A:$K,3,FALSE)</t>
  </si>
  <si>
    <t>=VLOOKUP(MAX($A:$A),$A:$K,11,FALSE)</t>
  </si>
  <si>
    <t>=IF($M$3="Last Row",VLOOKUP(MAX($A:$A),$A:$K,3,FALSE),IF($M$3="Client #:",VLOOKUP($R$3,$B:$K,2,FALSE),"Error"))</t>
  </si>
  <si>
    <t>IF, VLOOKUP, MAX</t>
  </si>
  <si>
    <t>=IF($M$3="Last Row",VLOOKUP(MAX($A:$A),$A:$K,11,FALSE),IF($M$3="Client #:",VLOOKUP($R$3,$B:$K,10,FALSE),"Error"))</t>
  </si>
  <si>
    <t>Submitted Two repsonses</t>
  </si>
  <si>
    <t>DISPLAY OPTIONS:</t>
  </si>
  <si>
    <t>Last Row</t>
  </si>
  <si>
    <t>=IF(C7&gt;1,1+A6," ")</t>
  </si>
  <si>
    <t>=IF(C5&lt;&gt;"",A5,"")</t>
  </si>
  <si>
    <t>=VLOOKUP(MAX($B$4:$B$104),$B$4:$K$104,2,FALSE)</t>
  </si>
  <si>
    <t>=TEXT(VLOOKUP(MAX($B$4:$B$104),$B$4:$K$104,10,FALSE),"$#,###.##")</t>
  </si>
  <si>
    <t>Arow</t>
  </si>
  <si>
    <t>Add</t>
  </si>
  <si>
    <t>2013 Test Ave</t>
  </si>
  <si>
    <t>Barstow</t>
  </si>
  <si>
    <t>ME</t>
  </si>
  <si>
    <t>888.937.2013</t>
  </si>
  <si>
    <t>Mo-rows</t>
  </si>
  <si>
    <t>Added</t>
  </si>
  <si>
    <t>1297 Pension Way</t>
  </si>
  <si>
    <t>Bankrupt</t>
  </si>
  <si>
    <t>MI</t>
  </si>
  <si>
    <t>800.147.9837</t>
  </si>
  <si>
    <t>Plan Broke</t>
  </si>
  <si>
    <t>=VLOOKUP(COUNTA($B$4:$B$104),$A$4:$J$104,2,FALSE)</t>
  </si>
  <si>
    <t>=VLOOKUP(COUNTA($B$4:$B$104),$A$4:$J$104,10,FALSE)</t>
  </si>
  <si>
    <t>VLOOKUP, COUNTA</t>
  </si>
  <si>
    <t>=VLOOKUP(DCOUNTA($B:$J,1,$B:$B)-1,$A:$J,2,FALSE)</t>
  </si>
  <si>
    <t>VLOOKUP, DCOUNTA</t>
  </si>
  <si>
    <t># of Rows with Data</t>
  </si>
  <si>
    <t>Reviewer's comment - the lookup range needs to be expand to include all blank rows, then solution works fine.</t>
  </si>
  <si>
    <t>=VLOOKUP($Q$28,$A$4:$J$10,J2,FALSE)</t>
  </si>
  <si>
    <t>=TEXT(VLOOKUP(DCOUNTA($B:$J,1,$B:$B)-1,$A:$J,10,FALSE),"$#,###.##")</t>
  </si>
  <si>
    <t>=HLOOKUP(M6,$B$3:$B$20,$Q$28+1,FALSE)</t>
  </si>
  <si>
    <t>=VLOOKUP($Q$28,$A$4:$J$10,B2,FALSE)</t>
  </si>
  <si>
    <t>=HLOOKUP("Balance",$J$3:$J$10,$Q$28+1,FALSE)</t>
  </si>
  <si>
    <t>=VLOOKUP(COUNTA($B:$B)-1,$A$3:$J$104,L6,FALSE)</t>
  </si>
  <si>
    <t>=VLOOKUP(COUNTA($B:$B)-1,$A$3:$J$104,L14,FALSE)</t>
  </si>
  <si>
    <t>INDIRECT, COUNTA</t>
  </si>
  <si>
    <t>=INDIRECT("J"&amp;COUNTA($B:$B)+2)</t>
  </si>
  <si>
    <t>=INDIRECT("B"&amp;COUNTA($B:$B)+2)</t>
  </si>
  <si>
    <t>=INDEX($B$3:$J$104,MATCH(REPT("z",255),$B$3:$B$104),1)</t>
  </si>
  <si>
    <t>INDEX, MATCH, REPT, TEXT</t>
  </si>
  <si>
    <t>Sent his email securely</t>
  </si>
  <si>
    <t>=INDEX(J:J,COUNTA(J:J)+2,1)</t>
  </si>
  <si>
    <t>=TEXT(INDEX($B$3:$J$104,MATCH(REPT("z",255),$B$3:$B$104),9),"$#,###.00")</t>
  </si>
  <si>
    <t>=INDEX(B:B,COUNTA(B:B)+2,1)</t>
  </si>
  <si>
    <t>Stephen</t>
  </si>
  <si>
    <t>Keene</t>
  </si>
  <si>
    <t>150 N. Ninth St</t>
  </si>
  <si>
    <t>West Cola</t>
  </si>
  <si>
    <t>803.791.7472</t>
  </si>
  <si>
    <t>Plan MBW</t>
  </si>
  <si>
    <t>=VLOOKUP(COUNTA($B:$B)-1,$A:$J,2,0)</t>
  </si>
  <si>
    <t>VLOOKUP, COUNTA, TEXT</t>
  </si>
  <si>
    <t>=TEXT(VLOOKUP(COUNTA($B:$B)-1,$A:$J,10,0),"$#,###.##")</t>
  </si>
  <si>
    <t>Raymond</t>
  </si>
  <si>
    <t>14086 mtl</t>
  </si>
  <si>
    <t>Boys Town</t>
  </si>
  <si>
    <t>NE</t>
  </si>
  <si>
    <t>402.498.3127</t>
  </si>
  <si>
    <t>=INDEX($B$4:$J$100000,(COUNTA($B$4:$B$100000)),MATCH(M6,$B$3:$J$3,0))</t>
  </si>
  <si>
    <t>=INDEX($B$4:$J$100000,(COUNTA($B$4:$B$100000)),MATCH(J3,$B$3:$J$3,0))</t>
  </si>
  <si>
    <t>INDEX, COUNTA, MATCH</t>
  </si>
  <si>
    <t>Curtis</t>
  </si>
  <si>
    <t>Chad</t>
  </si>
  <si>
    <t>130 Main Street</t>
  </si>
  <si>
    <t>Riverton</t>
  </si>
  <si>
    <t>UT</t>
  </si>
  <si>
    <t>801.555.1379</t>
  </si>
  <si>
    <t>=VLOOKUP(SUBTOTAL(3,$B$4:$B$999),$A$4:$J$999,2,FALSE)</t>
  </si>
  <si>
    <t>VLOOKUP, SUBTOTAL, TEXT</t>
  </si>
  <si>
    <t>Interesting - Used subtotal to call for a counta</t>
  </si>
  <si>
    <t>=CELL("contents",INDEX(B:B,COUNTA(B:B)+2))</t>
  </si>
  <si>
    <t>=TEXT(CELL("contents",INDEX(J:J,COUNTA(J:J)+2)),"$#,###.##")</t>
  </si>
  <si>
    <t>=TEXT(VLOOKUP(SUBTOTAL(3,$B$4:$B$999),$A$4:$J$999,10,FALSE),"$0,000.00")</t>
  </si>
  <si>
    <t>CELL, INDEX, COUNTA, TEXT</t>
  </si>
  <si>
    <t>Budaji</t>
  </si>
  <si>
    <t>Joseph</t>
  </si>
  <si>
    <t>123 Main St</t>
  </si>
  <si>
    <t>Anytown</t>
  </si>
  <si>
    <t>OH</t>
  </si>
  <si>
    <t>888.555.1234</t>
  </si>
  <si>
    <t>=TEXT(OFFSET(INDEX(B:B,COUNTA(B:B)+2),0,8),"$#,###.##")</t>
  </si>
  <si>
    <t>CELL, INDEX, COUNTA, TEXT, OFFSET</t>
  </si>
  <si>
    <t>Barton</t>
  </si>
  <si>
    <t>Mark</t>
  </si>
  <si>
    <t>7324 Noah Reid Rd</t>
  </si>
  <si>
    <t>Chatt</t>
  </si>
  <si>
    <t>TN</t>
  </si>
  <si>
    <t>423.296.8574</t>
  </si>
  <si>
    <t>=VLOOKUP((101-COUNTBLANK($B$4:$B$104)),$A$4:$J$104,2,FALSE)</t>
  </si>
  <si>
    <t>=VLOOKUP((101-COUNTBLANK($B$4:$B$104)),$A$4:$J$104,10,FALSE)</t>
  </si>
  <si>
    <t>VLOOKUP, COUNTBLANK</t>
  </si>
  <si>
    <t>It appears that Aaron Silvious solved this, and mark passed it along</t>
  </si>
  <si>
    <t>=VLOOKUP(COUNTIF($B$4:$B$104,"&lt;&gt;"&amp;""),$A$4:$J$104,2)</t>
  </si>
  <si>
    <t>=TEXT(VLOOKUP(COUNTIF($B$4:$B$104,"&lt;&gt;"&amp;""),$A$4:$J$104,10),"$#,###.##")</t>
  </si>
  <si>
    <t>VLOOKUP, COUNTIF, TEXT</t>
  </si>
  <si>
    <t>=INDIRECT("B4")</t>
  </si>
  <si>
    <t>=INDIRECT("J4")</t>
  </si>
  <si>
    <t>Reader used a macro to move data down, thus freeing up row 1</t>
  </si>
  <si>
    <t>MACRO, INDIRECT</t>
  </si>
  <si>
    <t>Ctrl P to Print</t>
  </si>
  <si>
    <t>Paulson</t>
  </si>
  <si>
    <t>Pat</t>
  </si>
  <si>
    <t>1600 Pennsylvania Ave</t>
  </si>
  <si>
    <t>Washington</t>
  </si>
  <si>
    <t>DC</t>
  </si>
  <si>
    <t>20500</t>
  </si>
  <si>
    <t>202.786.2016</t>
  </si>
  <si>
    <t>Reviewer's Note - This reader created a macro that moves the data downward, thusly inserting a new blank row 1 - from there, the rest is easy. I did not include that macro in this example worksheet, but this is what her macro looks like:</t>
  </si>
  <si>
    <t>=+INDEX(CollinsRange,ROWS(CollinsRange),COLUMN(Last_Name))</t>
  </si>
  <si>
    <t>INDEX, ROWS, COLUMN, TEXT</t>
  </si>
  <si>
    <t>=TEXT(INDEX(CollinsRange,ROWS(CollinsRange),COLUMN(Balance)),"$#,###.##")</t>
  </si>
  <si>
    <t>Report Record #</t>
  </si>
  <si>
    <t>Max Record #</t>
  </si>
  <si>
    <t>Doe</t>
  </si>
  <si>
    <t>100 Happy Lane</t>
  </si>
  <si>
    <t>Gainesville</t>
  </si>
  <si>
    <t>FL</t>
  </si>
  <si>
    <t>352.456.7777</t>
  </si>
  <si>
    <t>=VLOOKUP($P$1,$A$4:$J$104,2,FALSE)</t>
  </si>
  <si>
    <t>=VLOOKUP($P$1,$A$4:$J$104,10,FALSE)</t>
  </si>
  <si>
    <t>=INDEX($B$4:$J$104,COUNTA($B$4:$B$104),MATCH(M6,$B$3:$J$3,0))</t>
  </si>
  <si>
    <t>=INDEX($B$4:$J$104,COUNTA($B$4:$B$104),MATCH("Balance",$B$3:$J$3,0))</t>
  </si>
  <si>
    <t>=IF(AND(C4&lt;&gt;"",D4&lt;&gt;"",E4&lt;&gt;"",F4&lt;&gt;"",G4&lt;&gt;"",H4&lt;&gt;"",I4&lt;&gt;"",J4&lt;&gt;"",K4&lt;&gt;""),"X","Y")</t>
  </si>
  <si>
    <t>K</t>
  </si>
  <si>
    <t>=VLOOKUP($A$3,$B$4:$K$104,2,FALSE)</t>
  </si>
  <si>
    <t>=TEXT(VLOOKUP($A$3,$B$4:$K$104,10,FALSE),"$#,###.##")</t>
  </si>
  <si>
    <t>IF, AND, VLOOKUP, TEXT</t>
  </si>
  <si>
    <t>Newman</t>
  </si>
  <si>
    <t>Jack</t>
  </si>
  <si>
    <t>1600 Penslyvania</t>
  </si>
  <si>
    <t>Utah</t>
  </si>
  <si>
    <t>415.666.7777</t>
  </si>
  <si>
    <t>Jill</t>
  </si>
  <si>
    <t>A</t>
  </si>
  <si>
    <t>=VLOOKUP(MAX(A:A),Data_table,COLUMN(Data_table[[#Headers],[Last Name]]))</t>
  </si>
  <si>
    <t>=VLOOKUP(MAX(J:J),Data_table,COLUMN(Data_table[[#Headers],[Balance]]))</t>
  </si>
  <si>
    <t>LOOKUP, MAX, COLUMN</t>
  </si>
  <si>
    <t>=INDIRECT("B" &amp; COUNTA(B:B)+2)</t>
  </si>
  <si>
    <t>=INDIRECT("J" &amp; COUNTA(B:B)+2)</t>
  </si>
  <si>
    <t>=INDEX(B:B,(MATCH(TRUE,INDEX((B:B&lt;&gt;0),0,1),0)+(COUNTA(B:B)-1)),1)</t>
  </si>
  <si>
    <t>=INDEX(J:J,(MATCH(TRUE,INDEX((J:J&lt;&gt;0),0,1),0)+(COUNTA(J:J)-1)),1)</t>
  </si>
  <si>
    <t>=LOOKUP(2,1/(B4:B104&lt;&gt;""),B4:B104)</t>
  </si>
  <si>
    <t>=LOOKUP(2,1/(J4:J104&lt;&gt;""),J4:J104)</t>
  </si>
  <si>
    <t>LOOKUP</t>
  </si>
  <si>
    <t>This may be the most elegant solution</t>
  </si>
  <si>
    <t>='Pivot table'!B2</t>
  </si>
  <si>
    <t>Row Labels</t>
  </si>
  <si>
    <t>Count of Balance</t>
  </si>
  <si>
    <t>d</t>
  </si>
  <si>
    <t>Grand Total</t>
  </si>
  <si>
    <t>TEXT</t>
  </si>
  <si>
    <t>=VLOOKUP((MAX($A$4:$A$104)-COUNTBLANK($B$4:$B$104)),$A$4:$J$104,2)</t>
  </si>
  <si>
    <t>=VLOOKUP((MAX($A$4:$A$104)-COUNTBLANK($B$4:$B$104)),$A$4:$J$104,10)</t>
  </si>
  <si>
    <t>=TEXT('Pivot table'!J2,"$#,###.##")</t>
  </si>
  <si>
    <t>VLOOKUP, MAX, COUNTBLANK</t>
  </si>
  <si>
    <t>=INDIRECT("B"&amp;IF(ISERROR(MATCH(9.999999E+306,B:B)),MATCH("*",B:B,-1),IF(ISERROR(MATCH("*",B:B,-1)),MATCH(9.999999E+306,B:B),MAX(MATCH(9.999999E+306,B:B),MATCH("*",B:B,-1)))))</t>
  </si>
  <si>
    <t>=INDIRECT("J"&amp;IF(ISERROR(MATCH(9.999999E+306,J:J)),MATCH("*",J:J,-1),IF(ISERROR(MATCH("*",J:J,-1)),MATCH(9.999999E+306,J:J),MAX(MATCH(9.999999E+306,J:J),MATCH("*",J:J,-1)))))</t>
  </si>
  <si>
    <t>INDIRECT, IF, ISERROR, MATCH</t>
  </si>
  <si>
    <t>This looks like the most complicated solution</t>
  </si>
  <si>
    <t>=IF(ISBLANK(C4),0,B3+1)</t>
  </si>
  <si>
    <t>=VLOOKUP(MAX($B:$B),$B:$K,2,FALSE)</t>
  </si>
  <si>
    <t>=VLOOKUP(MAX($B:$B),$B:$K,10,FALSE)</t>
  </si>
  <si>
    <t>Test</t>
  </si>
  <si>
    <t>Test2</t>
  </si>
  <si>
    <t>Test3</t>
  </si>
  <si>
    <t>MATCH blank ("") to find empty cells, than use as row reference for HLOOKUP</t>
  </si>
  <si>
    <t>Cline</t>
  </si>
  <si>
    <t>Jesse</t>
  </si>
  <si>
    <t>1601 Fifth Ave</t>
  </si>
  <si>
    <t>Seattle</t>
  </si>
  <si>
    <t>WA</t>
  </si>
  <si>
    <t>206-555-5555</t>
  </si>
  <si>
    <t>=MATCH("",B3:B104,-1)</t>
  </si>
  <si>
    <t>=HLOOKUP(M6,$B$3:$J$104,$L$2,FALSE)</t>
  </si>
  <si>
    <t>=HLOOKUP("Balance",$B$3:$J$104,$L$2,FALSE)</t>
  </si>
  <si>
    <t>HLOOKUP, MATCH</t>
  </si>
  <si>
    <t>&lt;--- simple counta to get # of rows and them use offset function</t>
  </si>
  <si>
    <t>=OFFSET(B$3,$L$27,0)</t>
  </si>
  <si>
    <t>=TEXT(OFFSET(J$3,$L$27,0),"$#,###.##")</t>
  </si>
  <si>
    <t>=COUNTA(B4:B104)</t>
  </si>
  <si>
    <t>COUNTA, OFFSET, TEXT</t>
  </si>
  <si>
    <t>Carlton Collins</t>
  </si>
  <si>
    <t>=B1</t>
  </si>
  <si>
    <t>=TEXT(J1,"$#,###.##")</t>
  </si>
  <si>
    <t>=VLOOKUP(MAX($A$3:$A$147),$A$3:$H$147,4)</t>
  </si>
  <si>
    <t>Use used an external formula sop the screen shot would be easier for readers to folow.</t>
  </si>
  <si>
    <t>VLOOKUP, TEXT</t>
  </si>
  <si>
    <r>
      <t xml:space="preserve">Reviewer's comment - I copied the data and PivotTable to this sheet so you can see it, but Darrin's actual working copy can be downloaded at </t>
    </r>
    <r>
      <rPr>
        <b/>
        <i/>
        <sz val="12"/>
        <color theme="4" tint="-0.249977111117893"/>
        <rFont val="Calibri"/>
        <family val="2"/>
      </rPr>
      <t>www.CarltonCollins.com/pivotanswer.xlsm</t>
    </r>
  </si>
  <si>
    <t>Reviewer's comment - Sharon's solution workd fine until I saved it out to the web susing a different file name, then it stopped working because the way I saved the file corupted her links.</t>
  </si>
  <si>
    <t>Submitted a verbal explanation for using an asterick to tag the last row</t>
  </si>
  <si>
    <t>RichardC</t>
  </si>
  <si>
    <t>WilliamD</t>
  </si>
  <si>
    <t>JasonB</t>
  </si>
  <si>
    <t>BrianB</t>
  </si>
  <si>
    <t>DJD</t>
  </si>
  <si>
    <t>JimH</t>
  </si>
  <si>
    <t>EricE</t>
  </si>
  <si>
    <t>JuliaM</t>
  </si>
  <si>
    <t>VinceW</t>
  </si>
  <si>
    <t>JoeM</t>
  </si>
  <si>
    <t>TravisL</t>
  </si>
  <si>
    <t>KateR</t>
  </si>
  <si>
    <t>JimS</t>
  </si>
  <si>
    <t>BenA</t>
  </si>
  <si>
    <t>PeterH</t>
  </si>
  <si>
    <t>FredB</t>
  </si>
  <si>
    <t>JoshW</t>
  </si>
  <si>
    <t>KyleV</t>
  </si>
  <si>
    <t>JDK</t>
  </si>
  <si>
    <t>AsherF</t>
  </si>
  <si>
    <t>PamP</t>
  </si>
  <si>
    <t>JenniferK</t>
  </si>
  <si>
    <t>PatK</t>
  </si>
  <si>
    <t>SamG</t>
  </si>
  <si>
    <t>StevenL</t>
  </si>
  <si>
    <t>SharonK</t>
  </si>
  <si>
    <t>RickY</t>
  </si>
  <si>
    <t>AmyB</t>
  </si>
  <si>
    <t>CraigF</t>
  </si>
  <si>
    <t>AnthonyL1</t>
  </si>
  <si>
    <t>AnthonyL2</t>
  </si>
  <si>
    <t>KentS</t>
  </si>
  <si>
    <t>AndyF</t>
  </si>
  <si>
    <t>MichaelC</t>
  </si>
  <si>
    <t>ToddM</t>
  </si>
  <si>
    <t>DavidF1</t>
  </si>
  <si>
    <t>DavidF2</t>
  </si>
  <si>
    <t>StephenK</t>
  </si>
  <si>
    <t>GilB</t>
  </si>
  <si>
    <t>KevinD</t>
  </si>
  <si>
    <t>ChadC</t>
  </si>
  <si>
    <t>JoeB1</t>
  </si>
  <si>
    <t>JoeB2</t>
  </si>
  <si>
    <t>MarkB</t>
  </si>
  <si>
    <t>BradenH</t>
  </si>
  <si>
    <t>MaryL</t>
  </si>
  <si>
    <t>AlexY</t>
  </si>
  <si>
    <t>PatOB</t>
  </si>
  <si>
    <t>KimJ</t>
  </si>
  <si>
    <t>BradL</t>
  </si>
  <si>
    <t>BruceMc</t>
  </si>
  <si>
    <t>ThomasU</t>
  </si>
  <si>
    <t>MichaelI</t>
  </si>
  <si>
    <t>DarrinW</t>
  </si>
  <si>
    <t>KarynT</t>
  </si>
  <si>
    <t>JordanG</t>
  </si>
  <si>
    <t>DavidF</t>
  </si>
  <si>
    <t>ClineJ</t>
  </si>
  <si>
    <t>DavidR</t>
  </si>
  <si>
    <t>JeremyJ</t>
  </si>
  <si>
    <t>MilanF2</t>
  </si>
  <si>
    <t>MilanF1</t>
  </si>
  <si>
    <t>JimSc</t>
  </si>
  <si>
    <t>TravisW</t>
  </si>
  <si>
    <t>ColinG</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</si>
</sst>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6" formatCode="&quot;$&quot;#,##0_);[Red]\(&quot;$&quot;#,##0\)"/>
    <numFmt numFmtId="7" formatCode="&quot;$&quot;#,##0.00_);\(&quot;$&quot;#,##0.00\)"/>
    <numFmt numFmtId="8" formatCode="&quot;$&quot;#,##0.00_);[Red]\(&quot;$&quot;#,##0.00\)"/>
    <numFmt numFmtId="44" formatCode="_(&quot;$&quot;* #,##0.00_);_(&quot;$&quot;* \(#,##0.00\);_(&quot;$&quot;* &quot;-&quot;??_);_(@_)"/>
    <numFmt numFmtId="43" formatCode="_(* #,##0.00_);_(* \(#,##0.00\);_(* &quot;-&quot;??_);_(@_)"/>
    <numFmt numFmtId="164" formatCode="00000"/>
    <numFmt numFmtId="165" formatCode="&quot;$&quot;#,##0.00"/>
    <numFmt numFmtId="166" formatCode="&quot;$&quot;#,##0.00;[Red]&quot;$&quot;#,##0.00"/>
    <numFmt numFmtId="167" formatCode="[&lt;=9999999]###\-####;\(###\)\ ###\-####"/>
    <numFmt numFmtId="168" formatCode=";;;"/>
    <numFmt numFmtId="169" formatCode="_(&quot;$&quot;* #,##0_);_(&quot;$&quot;* \(#,##0\);_(&quot;$&quot;* &quot;-&quot;??_);_(@_)"/>
    <numFmt numFmtId="170" formatCode="&quot;$&quot;#,##0"/>
    <numFmt numFmtId="171" formatCode="_(* #,##0_);_(* \(#,##0\);_(* &quot;-&quot;??_);_(@_)"/>
  </numFmts>
  <fonts count="26" x14ac:knownFonts="1">
    <font>
      <sz val="12"/>
      <color theme="1"/>
      <name val="Calibri"/>
      <family val="2"/>
    </font>
    <font>
      <sz val="12"/>
      <color theme="1"/>
      <name val="Calibri"/>
      <family val="2"/>
    </font>
    <font>
      <b/>
      <sz val="12"/>
      <color theme="1"/>
      <name val="Calibri"/>
      <family val="2"/>
    </font>
    <font>
      <u/>
      <sz val="12"/>
      <color theme="10"/>
      <name val="Calibri"/>
      <family val="2"/>
    </font>
    <font>
      <b/>
      <sz val="12"/>
      <color theme="0"/>
      <name val="Calibri"/>
      <family val="2"/>
    </font>
    <font>
      <sz val="12"/>
      <color rgb="FFFF0000"/>
      <name val="Calibri"/>
      <family val="2"/>
    </font>
    <font>
      <sz val="12"/>
      <color theme="0"/>
      <name val="Calibri"/>
      <family val="2"/>
    </font>
    <font>
      <sz val="12"/>
      <name val="Calibri"/>
      <family val="2"/>
    </font>
    <font>
      <i/>
      <sz val="12"/>
      <color theme="1"/>
      <name val="Calibri"/>
      <family val="2"/>
    </font>
    <font>
      <b/>
      <sz val="20"/>
      <color theme="1"/>
      <name val="Calibri"/>
      <family val="2"/>
    </font>
    <font>
      <sz val="12"/>
      <color indexed="9"/>
      <name val="Calibri"/>
      <family val="2"/>
    </font>
    <font>
      <b/>
      <sz val="12"/>
      <color indexed="9"/>
      <name val="Calibri"/>
      <family val="2"/>
    </font>
    <font>
      <b/>
      <sz val="12"/>
      <color indexed="8"/>
      <name val="Calibri"/>
      <family val="2"/>
    </font>
    <font>
      <i/>
      <sz val="12"/>
      <color indexed="8"/>
      <name val="Calibri"/>
      <family val="2"/>
    </font>
    <font>
      <sz val="10"/>
      <color theme="1"/>
      <name val="Arial Unicode MS"/>
      <family val="2"/>
    </font>
    <font>
      <sz val="12"/>
      <color theme="0" tint="-0.249977111117893"/>
      <name val="Calibri"/>
      <family val="2"/>
    </font>
    <font>
      <b/>
      <sz val="9"/>
      <color indexed="81"/>
      <name val="Calibri"/>
      <family val="2"/>
    </font>
    <font>
      <sz val="9"/>
      <color indexed="81"/>
      <name val="Calibri"/>
      <family val="2"/>
    </font>
    <font>
      <sz val="16.8"/>
      <color rgb="FF444444"/>
      <name val="Segoe UI"/>
      <family val="2"/>
    </font>
    <font>
      <b/>
      <sz val="12"/>
      <color rgb="FFFF0000"/>
      <name val="Calibri"/>
      <family val="2"/>
    </font>
    <font>
      <i/>
      <sz val="12"/>
      <color rgb="FFFF0000"/>
      <name val="Calibri"/>
      <family val="2"/>
    </font>
    <font>
      <sz val="12"/>
      <color theme="1"/>
      <name val="Consolas"/>
      <family val="3"/>
    </font>
    <font>
      <b/>
      <i/>
      <sz val="12"/>
      <color rgb="FFFF0000"/>
      <name val="Calibri"/>
      <family val="2"/>
    </font>
    <font>
      <sz val="11"/>
      <color rgb="FF333333"/>
      <name val="Arial"/>
      <family val="2"/>
    </font>
    <font>
      <b/>
      <i/>
      <sz val="12"/>
      <color theme="4" tint="-0.249977111117893"/>
      <name val="Calibri"/>
      <family val="2"/>
    </font>
    <font>
      <b/>
      <sz val="12"/>
      <name val="Calibri"/>
      <family val="2"/>
    </font>
  </fonts>
  <fills count="12">
    <fill>
      <patternFill patternType="none"/>
    </fill>
    <fill>
      <patternFill patternType="gray125"/>
    </fill>
    <fill>
      <patternFill patternType="solid">
        <fgColor theme="0"/>
        <bgColor indexed="64"/>
      </patternFill>
    </fill>
    <fill>
      <patternFill patternType="solid">
        <fgColor theme="8" tint="-0.249977111117893"/>
        <bgColor indexed="64"/>
      </patternFill>
    </fill>
    <fill>
      <patternFill patternType="solid">
        <fgColor theme="0" tint="-0.249977111117893"/>
        <bgColor indexed="64"/>
      </patternFill>
    </fill>
    <fill>
      <patternFill patternType="solid">
        <fgColor indexed="62"/>
        <bgColor indexed="64"/>
      </patternFill>
    </fill>
    <fill>
      <patternFill patternType="solid">
        <fgColor indexed="55"/>
        <bgColor indexed="64"/>
      </patternFill>
    </fill>
    <fill>
      <patternFill patternType="solid">
        <fgColor indexed="9"/>
        <bgColor indexed="64"/>
      </patternFill>
    </fill>
    <fill>
      <patternFill patternType="solid">
        <fgColor rgb="FFFFFF00"/>
        <bgColor indexed="64"/>
      </patternFill>
    </fill>
    <fill>
      <patternFill patternType="solid">
        <fgColor theme="4" tint="0.79998168889431442"/>
        <bgColor theme="4" tint="0.79998168889431442"/>
      </patternFill>
    </fill>
    <fill>
      <patternFill patternType="solid">
        <fgColor rgb="FFC00000"/>
        <bgColor indexed="64"/>
      </patternFill>
    </fill>
    <fill>
      <patternFill patternType="solid">
        <fgColor theme="2"/>
        <bgColor indexed="64"/>
      </patternFill>
    </fill>
  </fills>
  <borders count="23">
    <border>
      <left/>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4" tint="0.39997558519241921"/>
      </left>
      <right/>
      <top/>
      <bottom style="thin">
        <color theme="4" tint="0.39997558519241921"/>
      </bottom>
      <diagonal/>
    </border>
  </borders>
  <cellStyleXfs count="6">
    <xf numFmtId="0" fontId="0" fillId="0" borderId="0"/>
    <xf numFmtId="44" fontId="1" fillId="0" borderId="0" applyFont="0" applyFill="0" applyBorder="0" applyAlignment="0" applyProtection="0"/>
    <xf numFmtId="0" fontId="3" fillId="0" borderId="0" applyNumberForma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cellStyleXfs>
  <cellXfs count="430">
    <xf numFmtId="0" fontId="0" fillId="0" borderId="0" xfId="0"/>
    <xf numFmtId="0" fontId="0" fillId="0" borderId="0" xfId="0" quotePrefix="1" applyAlignment="1">
      <alignment horizontal="left"/>
    </xf>
    <xf numFmtId="0" fontId="0" fillId="2" borderId="0" xfId="0" quotePrefix="1" applyFill="1" applyBorder="1" applyAlignment="1" applyProtection="1">
      <alignment horizontal="left"/>
      <protection locked="0"/>
    </xf>
    <xf numFmtId="44" fontId="0" fillId="2" borderId="0" xfId="1" quotePrefix="1" applyFont="1" applyFill="1" applyBorder="1" applyAlignment="1" applyProtection="1">
      <alignment horizontal="left"/>
      <protection locked="0"/>
    </xf>
    <xf numFmtId="44" fontId="0" fillId="2" borderId="0" xfId="1" applyFont="1" applyFill="1" applyBorder="1" applyAlignment="1" applyProtection="1">
      <alignment horizontal="center"/>
      <protection locked="0"/>
    </xf>
    <xf numFmtId="0" fontId="3" fillId="0" borderId="0" xfId="2"/>
    <xf numFmtId="0" fontId="0" fillId="0" borderId="0" xfId="0" applyAlignment="1">
      <alignment horizontal="left"/>
    </xf>
    <xf numFmtId="0" fontId="2" fillId="0" borderId="1" xfId="0" quotePrefix="1" applyFont="1" applyFill="1" applyBorder="1" applyAlignment="1">
      <alignment horizontal="center" wrapText="1"/>
    </xf>
    <xf numFmtId="44" fontId="0" fillId="2" borderId="0" xfId="1" quotePrefix="1" applyFont="1" applyFill="1" applyBorder="1" applyAlignment="1" applyProtection="1">
      <alignment horizontal="center"/>
      <protection locked="0"/>
    </xf>
    <xf numFmtId="0" fontId="0" fillId="0" borderId="0" xfId="0" applyAlignment="1">
      <alignment horizontal="center"/>
    </xf>
    <xf numFmtId="0" fontId="2" fillId="0" borderId="0" xfId="0" quotePrefix="1" applyFont="1" applyAlignment="1">
      <alignment horizontal="center"/>
    </xf>
    <xf numFmtId="0" fontId="2" fillId="0" borderId="1" xfId="0" applyFont="1" applyBorder="1" applyAlignment="1">
      <alignment horizontal="center"/>
    </xf>
    <xf numFmtId="14" fontId="0" fillId="0" borderId="0" xfId="0" applyNumberFormat="1" applyAlignment="1">
      <alignment horizontal="center"/>
    </xf>
    <xf numFmtId="0" fontId="7" fillId="0" borderId="0" xfId="0" applyFont="1" applyAlignment="1" applyProtection="1">
      <alignment horizontal="left"/>
    </xf>
    <xf numFmtId="0" fontId="6" fillId="0" borderId="0" xfId="0" applyFont="1" applyAlignment="1" applyProtection="1">
      <alignment horizontal="center"/>
      <protection locked="0"/>
    </xf>
    <xf numFmtId="164" fontId="6" fillId="0" borderId="0" xfId="0" applyNumberFormat="1" applyFont="1" applyAlignment="1" applyProtection="1">
      <alignment horizontal="center"/>
      <protection locked="0"/>
    </xf>
    <xf numFmtId="0" fontId="6" fillId="0" borderId="0" xfId="0" applyFont="1" applyAlignment="1" applyProtection="1">
      <alignment horizontal="center"/>
    </xf>
    <xf numFmtId="0" fontId="4" fillId="0" borderId="0" xfId="0" applyFont="1" applyProtection="1"/>
    <xf numFmtId="0" fontId="6" fillId="0" borderId="0" xfId="0" applyFont="1" applyProtection="1">
      <protection locked="0"/>
    </xf>
    <xf numFmtId="0" fontId="0" fillId="0" borderId="0" xfId="0" applyAlignment="1" applyProtection="1">
      <alignment horizontal="center"/>
    </xf>
    <xf numFmtId="0" fontId="2" fillId="0" borderId="0" xfId="0" applyFont="1" applyProtection="1">
      <protection locked="0"/>
    </xf>
    <xf numFmtId="164" fontId="2" fillId="0" borderId="0" xfId="0" applyNumberFormat="1" applyFont="1" applyProtection="1">
      <protection locked="0"/>
    </xf>
    <xf numFmtId="0" fontId="2" fillId="0" borderId="0" xfId="0" applyFont="1" applyAlignment="1" applyProtection="1">
      <alignment horizontal="center"/>
      <protection locked="0"/>
    </xf>
    <xf numFmtId="0" fontId="0" fillId="0" borderId="0" xfId="0" applyProtection="1">
      <protection locked="0"/>
    </xf>
    <xf numFmtId="0" fontId="4" fillId="3" borderId="2" xfId="0" applyFont="1" applyFill="1" applyBorder="1" applyAlignment="1" applyProtection="1">
      <alignment horizontal="center"/>
    </xf>
    <xf numFmtId="0" fontId="4" fillId="3" borderId="2" xfId="0" quotePrefix="1" applyFont="1" applyFill="1" applyBorder="1" applyAlignment="1" applyProtection="1">
      <alignment horizontal="center"/>
      <protection locked="0"/>
    </xf>
    <xf numFmtId="0" fontId="4" fillId="3" borderId="2" xfId="0" applyFont="1" applyFill="1" applyBorder="1" applyAlignment="1" applyProtection="1">
      <alignment horizontal="center"/>
      <protection locked="0"/>
    </xf>
    <xf numFmtId="164" fontId="4" fillId="3" borderId="2" xfId="0" applyNumberFormat="1" applyFont="1" applyFill="1" applyBorder="1" applyAlignment="1" applyProtection="1">
      <alignment horizontal="center"/>
      <protection locked="0"/>
    </xf>
    <xf numFmtId="0" fontId="4" fillId="3" borderId="3" xfId="0" applyFont="1" applyFill="1" applyBorder="1" applyAlignment="1" applyProtection="1">
      <alignment horizontal="center"/>
      <protection locked="0"/>
    </xf>
    <xf numFmtId="0" fontId="0" fillId="4" borderId="4" xfId="0" applyFill="1" applyBorder="1" applyProtection="1">
      <protection locked="0"/>
    </xf>
    <xf numFmtId="0" fontId="0" fillId="4" borderId="5" xfId="0" applyFill="1" applyBorder="1" applyProtection="1">
      <protection locked="0"/>
    </xf>
    <xf numFmtId="0" fontId="0" fillId="4" borderId="6" xfId="0" applyFill="1" applyBorder="1" applyProtection="1">
      <protection locked="0"/>
    </xf>
    <xf numFmtId="0" fontId="2" fillId="0" borderId="0" xfId="0" applyFont="1" applyBorder="1" applyAlignment="1" applyProtection="1">
      <alignment horizontal="center"/>
    </xf>
    <xf numFmtId="0" fontId="2" fillId="0" borderId="2" xfId="0" quotePrefix="1" applyFont="1" applyBorder="1" applyAlignment="1" applyProtection="1">
      <alignment horizontal="left"/>
      <protection locked="0"/>
    </xf>
    <xf numFmtId="0" fontId="2" fillId="0" borderId="2" xfId="0" applyFont="1" applyBorder="1" applyProtection="1">
      <protection locked="0"/>
    </xf>
    <xf numFmtId="0" fontId="2" fillId="0" borderId="2" xfId="0" applyFont="1" applyBorder="1" applyAlignment="1" applyProtection="1">
      <alignment horizontal="center"/>
      <protection locked="0"/>
    </xf>
    <xf numFmtId="164" fontId="2" fillId="0" borderId="2" xfId="0" applyNumberFormat="1" applyFont="1" applyBorder="1" applyAlignment="1" applyProtection="1">
      <alignment horizontal="center"/>
      <protection locked="0"/>
    </xf>
    <xf numFmtId="0" fontId="2" fillId="0" borderId="2" xfId="0" quotePrefix="1" applyFont="1" applyBorder="1" applyAlignment="1" applyProtection="1">
      <alignment horizontal="center"/>
      <protection locked="0"/>
    </xf>
    <xf numFmtId="44" fontId="2" fillId="0" borderId="3" xfId="1" quotePrefix="1" applyFont="1" applyBorder="1" applyAlignment="1" applyProtection="1">
      <alignment horizontal="left"/>
      <protection locked="0"/>
    </xf>
    <xf numFmtId="0" fontId="2" fillId="0" borderId="9" xfId="0" applyFont="1" applyBorder="1" applyProtection="1">
      <protection locked="0"/>
    </xf>
    <xf numFmtId="0" fontId="2" fillId="0" borderId="9" xfId="0" applyFont="1" applyBorder="1" applyAlignment="1" applyProtection="1">
      <alignment horizontal="center"/>
      <protection locked="0"/>
    </xf>
    <xf numFmtId="164" fontId="2" fillId="0" borderId="9" xfId="0" applyNumberFormat="1" applyFont="1" applyBorder="1" applyAlignment="1" applyProtection="1">
      <alignment horizontal="center"/>
      <protection locked="0"/>
    </xf>
    <xf numFmtId="0" fontId="2" fillId="0" borderId="9" xfId="0" quotePrefix="1" applyFont="1" applyBorder="1" applyAlignment="1" applyProtection="1">
      <alignment horizontal="left"/>
      <protection locked="0"/>
    </xf>
    <xf numFmtId="0" fontId="2" fillId="0" borderId="9" xfId="0" quotePrefix="1" applyFont="1" applyBorder="1" applyAlignment="1" applyProtection="1">
      <alignment horizontal="center"/>
      <protection locked="0"/>
    </xf>
    <xf numFmtId="44" fontId="2" fillId="0" borderId="10" xfId="1" quotePrefix="1" applyFont="1" applyBorder="1" applyAlignment="1" applyProtection="1">
      <alignment horizontal="left"/>
      <protection locked="0"/>
    </xf>
    <xf numFmtId="0" fontId="0" fillId="4" borderId="7" xfId="0" applyFill="1" applyBorder="1" applyProtection="1">
      <protection locked="0"/>
    </xf>
    <xf numFmtId="0" fontId="0" fillId="4" borderId="0" xfId="0" applyFill="1" applyBorder="1" applyProtection="1">
      <protection locked="0"/>
    </xf>
    <xf numFmtId="0" fontId="0" fillId="4" borderId="8" xfId="0" applyFill="1" applyBorder="1" applyProtection="1">
      <protection locked="0"/>
    </xf>
    <xf numFmtId="0" fontId="2" fillId="4" borderId="0" xfId="0" quotePrefix="1" applyFont="1" applyFill="1" applyBorder="1" applyAlignment="1" applyProtection="1">
      <alignment horizontal="left"/>
      <protection locked="0"/>
    </xf>
    <xf numFmtId="0" fontId="0" fillId="2" borderId="10" xfId="0" applyFill="1" applyBorder="1" applyProtection="1">
      <protection locked="0"/>
    </xf>
    <xf numFmtId="0" fontId="0" fillId="2" borderId="11" xfId="0" applyFill="1" applyBorder="1" applyProtection="1">
      <protection locked="0"/>
    </xf>
    <xf numFmtId="0" fontId="0" fillId="2" borderId="12" xfId="0" applyFill="1" applyBorder="1" applyProtection="1">
      <protection locked="0"/>
    </xf>
    <xf numFmtId="0" fontId="2" fillId="4" borderId="0" xfId="0" applyFont="1" applyFill="1" applyBorder="1" applyAlignment="1" applyProtection="1">
      <alignment horizontal="left"/>
      <protection locked="0"/>
    </xf>
    <xf numFmtId="0" fontId="2" fillId="0" borderId="13" xfId="0" applyFont="1" applyBorder="1" applyProtection="1">
      <protection locked="0"/>
    </xf>
    <xf numFmtId="0" fontId="2" fillId="0" borderId="13" xfId="0" applyFont="1" applyBorder="1" applyAlignment="1" applyProtection="1">
      <alignment horizontal="center"/>
      <protection locked="0"/>
    </xf>
    <xf numFmtId="164" fontId="2" fillId="0" borderId="13" xfId="0" applyNumberFormat="1" applyFont="1" applyBorder="1" applyAlignment="1" applyProtection="1">
      <alignment horizontal="center"/>
      <protection locked="0"/>
    </xf>
    <xf numFmtId="0" fontId="2" fillId="0" borderId="13" xfId="0" applyFont="1" applyBorder="1" applyAlignment="1" applyProtection="1">
      <alignment horizontal="left"/>
      <protection locked="0"/>
    </xf>
    <xf numFmtId="44" fontId="2" fillId="0" borderId="14" xfId="1" applyFont="1" applyBorder="1" applyAlignment="1" applyProtection="1">
      <alignment horizontal="left"/>
      <protection locked="0"/>
    </xf>
    <xf numFmtId="0" fontId="0" fillId="0" borderId="0" xfId="0" applyProtection="1"/>
    <xf numFmtId="164" fontId="0" fillId="0" borderId="0" xfId="0" applyNumberFormat="1" applyProtection="1">
      <protection locked="0"/>
    </xf>
    <xf numFmtId="0" fontId="2" fillId="4" borderId="0" xfId="0" applyFont="1" applyFill="1" applyBorder="1" applyProtection="1">
      <protection locked="0"/>
    </xf>
    <xf numFmtId="0" fontId="0" fillId="4" borderId="15" xfId="0" applyFill="1" applyBorder="1" applyProtection="1">
      <protection locked="0"/>
    </xf>
    <xf numFmtId="0" fontId="0" fillId="4" borderId="16" xfId="0" applyFill="1" applyBorder="1" applyProtection="1">
      <protection locked="0"/>
    </xf>
    <xf numFmtId="0" fontId="0" fillId="4" borderId="17" xfId="0" applyFill="1" applyBorder="1" applyProtection="1">
      <protection locked="0"/>
    </xf>
    <xf numFmtId="0" fontId="2" fillId="0" borderId="9" xfId="0" applyFont="1" applyBorder="1"/>
    <xf numFmtId="0" fontId="2" fillId="0" borderId="9" xfId="0" applyFont="1" applyBorder="1" applyAlignment="1">
      <alignment horizontal="center"/>
    </xf>
    <xf numFmtId="0" fontId="2" fillId="0" borderId="0" xfId="0" applyFont="1" applyAlignment="1" applyProtection="1">
      <alignment horizontal="center"/>
    </xf>
    <xf numFmtId="0" fontId="9" fillId="0" borderId="0" xfId="0" quotePrefix="1" applyFont="1" applyAlignment="1">
      <alignment horizontal="left"/>
    </xf>
    <xf numFmtId="0" fontId="4" fillId="3" borderId="9" xfId="0" applyFont="1" applyFill="1" applyBorder="1" applyAlignment="1" applyProtection="1">
      <alignment horizontal="center"/>
      <protection locked="0"/>
    </xf>
    <xf numFmtId="0" fontId="4" fillId="3" borderId="9" xfId="0" quotePrefix="1" applyFont="1" applyFill="1" applyBorder="1" applyAlignment="1" applyProtection="1">
      <alignment horizontal="center"/>
      <protection locked="0"/>
    </xf>
    <xf numFmtId="44" fontId="2" fillId="0" borderId="2" xfId="1" quotePrefix="1" applyFont="1" applyBorder="1" applyAlignment="1" applyProtection="1">
      <alignment horizontal="left"/>
      <protection locked="0"/>
    </xf>
    <xf numFmtId="44" fontId="2" fillId="0" borderId="9" xfId="1" quotePrefix="1" applyFont="1" applyBorder="1" applyAlignment="1" applyProtection="1">
      <alignment horizontal="left"/>
      <protection locked="0"/>
    </xf>
    <xf numFmtId="44" fontId="2" fillId="0" borderId="9" xfId="1" applyFont="1" applyBorder="1" applyProtection="1">
      <protection locked="0"/>
    </xf>
    <xf numFmtId="0" fontId="0" fillId="0" borderId="0" xfId="0" applyAlignment="1" applyProtection="1">
      <alignment horizontal="center"/>
      <protection locked="0"/>
    </xf>
    <xf numFmtId="0" fontId="2" fillId="0" borderId="9" xfId="0" applyNumberFormat="1" applyFont="1" applyBorder="1" applyProtection="1">
      <protection locked="0"/>
    </xf>
    <xf numFmtId="6" fontId="2" fillId="0" borderId="9" xfId="0" applyNumberFormat="1" applyFont="1" applyBorder="1" applyProtection="1">
      <protection locked="0"/>
    </xf>
    <xf numFmtId="0" fontId="0" fillId="2" borderId="10" xfId="0" quotePrefix="1" applyFill="1" applyBorder="1" applyAlignment="1" applyProtection="1">
      <alignment horizontal="left"/>
      <protection locked="0"/>
    </xf>
    <xf numFmtId="0" fontId="0" fillId="2" borderId="10" xfId="0" applyFill="1" applyBorder="1" applyAlignment="1" applyProtection="1">
      <alignment horizontal="left"/>
      <protection locked="0"/>
    </xf>
    <xf numFmtId="44" fontId="0" fillId="2" borderId="10" xfId="1" quotePrefix="1" applyFont="1" applyFill="1" applyBorder="1" applyAlignment="1" applyProtection="1">
      <alignment horizontal="left"/>
      <protection locked="0"/>
    </xf>
    <xf numFmtId="0" fontId="7" fillId="0" borderId="19" xfId="0" applyFont="1" applyBorder="1" applyAlignment="1" applyProtection="1">
      <alignment horizontal="left"/>
    </xf>
    <xf numFmtId="0" fontId="6" fillId="0" borderId="20" xfId="0" applyFont="1" applyBorder="1" applyAlignment="1" applyProtection="1">
      <alignment horizontal="center"/>
    </xf>
    <xf numFmtId="0" fontId="6" fillId="0" borderId="21" xfId="0" applyFont="1" applyBorder="1" applyAlignment="1" applyProtection="1">
      <alignment horizontal="center"/>
    </xf>
    <xf numFmtId="0" fontId="7" fillId="0" borderId="0" xfId="0" applyFont="1" applyAlignment="1" applyProtection="1">
      <alignment horizontal="center"/>
    </xf>
    <xf numFmtId="0" fontId="4" fillId="0" borderId="0" xfId="0" applyFont="1" applyFill="1" applyBorder="1" applyAlignment="1" applyProtection="1">
      <alignment horizontal="center"/>
      <protection locked="0"/>
    </xf>
    <xf numFmtId="44" fontId="2" fillId="0" borderId="0" xfId="1" quotePrefix="1" applyFont="1" applyBorder="1" applyAlignment="1" applyProtection="1">
      <alignment horizontal="left"/>
      <protection locked="0"/>
    </xf>
    <xf numFmtId="0" fontId="2" fillId="0" borderId="0" xfId="0" applyFont="1" applyBorder="1" applyProtection="1">
      <protection locked="0"/>
    </xf>
    <xf numFmtId="0" fontId="0" fillId="0" borderId="0" xfId="0" quotePrefix="1" applyAlignment="1">
      <alignment horizontal="center"/>
    </xf>
    <xf numFmtId="0" fontId="10" fillId="0" borderId="0" xfId="0" applyFont="1" applyAlignment="1" applyProtection="1">
      <alignment horizontal="center"/>
    </xf>
    <xf numFmtId="0" fontId="11" fillId="0" borderId="0" xfId="0" applyFont="1" applyProtection="1"/>
    <xf numFmtId="0" fontId="10" fillId="0" borderId="0" xfId="0" applyFont="1" applyProtection="1">
      <protection locked="0"/>
    </xf>
    <xf numFmtId="0" fontId="12" fillId="0" borderId="0" xfId="0" applyFont="1" applyProtection="1">
      <protection locked="0"/>
    </xf>
    <xf numFmtId="0" fontId="12" fillId="0" borderId="0" xfId="0" applyFont="1" applyAlignment="1" applyProtection="1">
      <alignment horizontal="center"/>
      <protection locked="0"/>
    </xf>
    <xf numFmtId="0" fontId="11" fillId="5" borderId="9" xfId="0" applyFont="1" applyFill="1" applyBorder="1" applyAlignment="1" applyProtection="1">
      <alignment horizontal="center"/>
      <protection locked="0"/>
    </xf>
    <xf numFmtId="0" fontId="11" fillId="5" borderId="9" xfId="0" quotePrefix="1" applyFont="1" applyFill="1" applyBorder="1" applyAlignment="1" applyProtection="1">
      <alignment horizontal="center"/>
      <protection locked="0"/>
    </xf>
    <xf numFmtId="0" fontId="0" fillId="6" borderId="4" xfId="0" applyFill="1" applyBorder="1" applyProtection="1">
      <protection locked="0"/>
    </xf>
    <xf numFmtId="0" fontId="0" fillId="6" borderId="5" xfId="0" applyFill="1" applyBorder="1" applyProtection="1">
      <protection locked="0"/>
    </xf>
    <xf numFmtId="0" fontId="0" fillId="6" borderId="6" xfId="0" applyFill="1" applyBorder="1" applyProtection="1">
      <protection locked="0"/>
    </xf>
    <xf numFmtId="0" fontId="12" fillId="0" borderId="0" xfId="0" applyFont="1" applyBorder="1" applyAlignment="1" applyProtection="1">
      <alignment horizontal="center"/>
    </xf>
    <xf numFmtId="0" fontId="12" fillId="0" borderId="2" xfId="0" quotePrefix="1" applyFont="1" applyBorder="1" applyAlignment="1" applyProtection="1">
      <alignment horizontal="left"/>
      <protection locked="0"/>
    </xf>
    <xf numFmtId="0" fontId="12" fillId="0" borderId="2" xfId="0" applyFont="1" applyBorder="1" applyProtection="1">
      <protection locked="0"/>
    </xf>
    <xf numFmtId="0" fontId="12" fillId="0" borderId="2" xfId="0" applyFont="1" applyBorder="1" applyAlignment="1" applyProtection="1">
      <alignment horizontal="center"/>
      <protection locked="0"/>
    </xf>
    <xf numFmtId="0" fontId="12" fillId="0" borderId="2" xfId="0" quotePrefix="1" applyFont="1" applyBorder="1" applyAlignment="1" applyProtection="1">
      <alignment horizontal="center"/>
      <protection locked="0"/>
    </xf>
    <xf numFmtId="44" fontId="12" fillId="0" borderId="2" xfId="1" quotePrefix="1" applyFont="1" applyBorder="1" applyAlignment="1" applyProtection="1">
      <alignment horizontal="left"/>
      <protection locked="0"/>
    </xf>
    <xf numFmtId="0" fontId="12" fillId="0" borderId="9" xfId="0" applyFont="1" applyBorder="1" applyProtection="1">
      <protection locked="0"/>
    </xf>
    <xf numFmtId="0" fontId="12" fillId="0" borderId="9" xfId="0" applyFont="1" applyBorder="1" applyAlignment="1" applyProtection="1">
      <alignment horizontal="center"/>
      <protection locked="0"/>
    </xf>
    <xf numFmtId="0" fontId="12" fillId="0" borderId="9" xfId="0" quotePrefix="1" applyFont="1" applyBorder="1" applyAlignment="1" applyProtection="1">
      <alignment horizontal="left"/>
      <protection locked="0"/>
    </xf>
    <xf numFmtId="0" fontId="12" fillId="0" borderId="9" xfId="0" quotePrefix="1" applyFont="1" applyBorder="1" applyAlignment="1" applyProtection="1">
      <alignment horizontal="center"/>
      <protection locked="0"/>
    </xf>
    <xf numFmtId="44" fontId="12" fillId="0" borderId="9" xfId="1" quotePrefix="1" applyFont="1" applyBorder="1" applyAlignment="1" applyProtection="1">
      <alignment horizontal="left"/>
      <protection locked="0"/>
    </xf>
    <xf numFmtId="0" fontId="0" fillId="6" borderId="7" xfId="0" applyFill="1" applyBorder="1" applyProtection="1">
      <protection locked="0"/>
    </xf>
    <xf numFmtId="0" fontId="0" fillId="6" borderId="0" xfId="0" applyFill="1" applyBorder="1" applyProtection="1">
      <protection locked="0"/>
    </xf>
    <xf numFmtId="0" fontId="0" fillId="6" borderId="8" xfId="0" applyFill="1" applyBorder="1" applyProtection="1">
      <protection locked="0"/>
    </xf>
    <xf numFmtId="0" fontId="12" fillId="6" borderId="0" xfId="0" quotePrefix="1" applyFont="1" applyFill="1" applyBorder="1" applyAlignment="1" applyProtection="1">
      <alignment horizontal="left"/>
      <protection locked="0"/>
    </xf>
    <xf numFmtId="0" fontId="0" fillId="7" borderId="10" xfId="0" quotePrefix="1" applyFill="1" applyBorder="1" applyAlignment="1" applyProtection="1">
      <alignment horizontal="left"/>
      <protection locked="0"/>
    </xf>
    <xf numFmtId="0" fontId="0" fillId="7" borderId="11" xfId="0" applyFill="1" applyBorder="1" applyProtection="1">
      <protection locked="0"/>
    </xf>
    <xf numFmtId="0" fontId="0" fillId="7" borderId="12" xfId="0" applyFill="1" applyBorder="1" applyProtection="1">
      <protection locked="0"/>
    </xf>
    <xf numFmtId="0" fontId="12" fillId="6" borderId="0" xfId="0" applyFont="1" applyFill="1" applyBorder="1" applyAlignment="1" applyProtection="1">
      <alignment horizontal="left"/>
      <protection locked="0"/>
    </xf>
    <xf numFmtId="0" fontId="0" fillId="7" borderId="10" xfId="0" applyFill="1" applyBorder="1" applyProtection="1">
      <protection locked="0"/>
    </xf>
    <xf numFmtId="0" fontId="12" fillId="6" borderId="0" xfId="0" applyFont="1" applyFill="1" applyBorder="1" applyProtection="1">
      <protection locked="0"/>
    </xf>
    <xf numFmtId="0" fontId="0" fillId="6" borderId="15" xfId="0" applyFill="1" applyBorder="1" applyProtection="1">
      <protection locked="0"/>
    </xf>
    <xf numFmtId="0" fontId="0" fillId="6" borderId="16" xfId="0" applyFill="1" applyBorder="1" applyProtection="1">
      <protection locked="0"/>
    </xf>
    <xf numFmtId="0" fontId="0" fillId="6" borderId="17" xfId="0" applyFill="1" applyBorder="1" applyProtection="1">
      <protection locked="0"/>
    </xf>
    <xf numFmtId="8" fontId="2" fillId="0" borderId="9" xfId="0" applyNumberFormat="1" applyFont="1" applyBorder="1" applyProtection="1">
      <protection locked="0"/>
    </xf>
    <xf numFmtId="0" fontId="4" fillId="3" borderId="9" xfId="0" applyFont="1" applyFill="1" applyBorder="1" applyAlignment="1" applyProtection="1">
      <alignment horizontal="center" wrapText="1"/>
      <protection locked="0"/>
    </xf>
    <xf numFmtId="0" fontId="14" fillId="0" borderId="0" xfId="0" applyFont="1"/>
    <xf numFmtId="43" fontId="0" fillId="2" borderId="10" xfId="3" applyFont="1" applyFill="1" applyBorder="1" applyProtection="1">
      <protection locked="0"/>
    </xf>
    <xf numFmtId="0" fontId="6" fillId="0" borderId="0" xfId="4" applyFont="1" applyProtection="1">
      <protection locked="0"/>
    </xf>
    <xf numFmtId="0" fontId="6" fillId="0" borderId="0" xfId="4" applyFont="1" applyAlignment="1" applyProtection="1">
      <alignment horizontal="center"/>
    </xf>
    <xf numFmtId="0" fontId="4" fillId="0" borderId="0" xfId="4" applyFont="1" applyProtection="1"/>
    <xf numFmtId="0" fontId="1" fillId="0" borderId="0" xfId="4" applyProtection="1">
      <protection locked="0"/>
    </xf>
    <xf numFmtId="0" fontId="1" fillId="0" borderId="0" xfId="4" applyAlignment="1" applyProtection="1">
      <alignment horizontal="center"/>
      <protection locked="0"/>
    </xf>
    <xf numFmtId="0" fontId="2" fillId="0" borderId="0" xfId="4" applyFont="1" applyProtection="1">
      <protection locked="0"/>
    </xf>
    <xf numFmtId="0" fontId="2" fillId="0" borderId="0" xfId="4" applyFont="1" applyAlignment="1" applyProtection="1">
      <alignment horizontal="center"/>
      <protection locked="0"/>
    </xf>
    <xf numFmtId="0" fontId="4" fillId="3" borderId="9" xfId="4" applyFont="1" applyFill="1" applyBorder="1" applyAlignment="1" applyProtection="1">
      <alignment horizontal="center"/>
      <protection locked="0"/>
    </xf>
    <xf numFmtId="0" fontId="4" fillId="3" borderId="9" xfId="4" quotePrefix="1" applyFont="1" applyFill="1" applyBorder="1" applyAlignment="1" applyProtection="1">
      <alignment horizontal="center"/>
      <protection locked="0"/>
    </xf>
    <xf numFmtId="0" fontId="1" fillId="4" borderId="4" xfId="4" applyFill="1" applyBorder="1" applyProtection="1">
      <protection locked="0"/>
    </xf>
    <xf numFmtId="0" fontId="1" fillId="4" borderId="5" xfId="4" applyFill="1" applyBorder="1" applyProtection="1">
      <protection locked="0"/>
    </xf>
    <xf numFmtId="0" fontId="1" fillId="4" borderId="6" xfId="4" applyFill="1" applyBorder="1" applyProtection="1">
      <protection locked="0"/>
    </xf>
    <xf numFmtId="0" fontId="2" fillId="0" borderId="0" xfId="4" applyFont="1" applyBorder="1" applyAlignment="1" applyProtection="1">
      <alignment horizontal="center"/>
    </xf>
    <xf numFmtId="0" fontId="2" fillId="0" borderId="2" xfId="4" quotePrefix="1" applyFont="1" applyBorder="1" applyAlignment="1" applyProtection="1">
      <alignment horizontal="left"/>
      <protection locked="0"/>
    </xf>
    <xf numFmtId="0" fontId="2" fillId="0" borderId="2" xfId="4" applyFont="1" applyBorder="1" applyProtection="1">
      <protection locked="0"/>
    </xf>
    <xf numFmtId="0" fontId="2" fillId="0" borderId="2" xfId="4" applyFont="1" applyBorder="1" applyAlignment="1" applyProtection="1">
      <alignment horizontal="center"/>
      <protection locked="0"/>
    </xf>
    <xf numFmtId="0" fontId="2" fillId="0" borderId="2" xfId="4" quotePrefix="1" applyFont="1" applyBorder="1" applyAlignment="1" applyProtection="1">
      <alignment horizontal="center"/>
      <protection locked="0"/>
    </xf>
    <xf numFmtId="44" fontId="2" fillId="0" borderId="2" xfId="5" quotePrefix="1" applyFont="1" applyBorder="1" applyAlignment="1" applyProtection="1">
      <alignment horizontal="left"/>
      <protection locked="0"/>
    </xf>
    <xf numFmtId="0" fontId="2" fillId="0" borderId="9" xfId="4" applyFont="1" applyBorder="1" applyProtection="1">
      <protection locked="0"/>
    </xf>
    <xf numFmtId="0" fontId="2" fillId="0" borderId="9" xfId="4" applyFont="1" applyBorder="1" applyAlignment="1" applyProtection="1">
      <alignment horizontal="center"/>
      <protection locked="0"/>
    </xf>
    <xf numFmtId="0" fontId="2" fillId="0" borderId="9" xfId="4" quotePrefix="1" applyFont="1" applyBorder="1" applyAlignment="1" applyProtection="1">
      <alignment horizontal="left"/>
      <protection locked="0"/>
    </xf>
    <xf numFmtId="0" fontId="2" fillId="0" borderId="9" xfId="4" quotePrefix="1" applyFont="1" applyBorder="1" applyAlignment="1" applyProtection="1">
      <alignment horizontal="center"/>
      <protection locked="0"/>
    </xf>
    <xf numFmtId="44" fontId="2" fillId="0" borderId="9" xfId="5" quotePrefix="1" applyFont="1" applyBorder="1" applyAlignment="1" applyProtection="1">
      <alignment horizontal="left"/>
      <protection locked="0"/>
    </xf>
    <xf numFmtId="0" fontId="1" fillId="4" borderId="7" xfId="4" applyFill="1" applyBorder="1" applyProtection="1">
      <protection locked="0"/>
    </xf>
    <xf numFmtId="0" fontId="1" fillId="4" borderId="0" xfId="4" applyFill="1" applyBorder="1" applyProtection="1">
      <protection locked="0"/>
    </xf>
    <xf numFmtId="0" fontId="1" fillId="4" borderId="8" xfId="4" applyFill="1" applyBorder="1" applyProtection="1">
      <protection locked="0"/>
    </xf>
    <xf numFmtId="0" fontId="2" fillId="4" borderId="0" xfId="4" quotePrefix="1" applyFont="1" applyFill="1" applyBorder="1" applyAlignment="1" applyProtection="1">
      <alignment horizontal="left"/>
      <protection locked="0"/>
    </xf>
    <xf numFmtId="0" fontId="1" fillId="2" borderId="10" xfId="4" applyFill="1" applyBorder="1" applyProtection="1">
      <protection locked="0"/>
    </xf>
    <xf numFmtId="0" fontId="1" fillId="2" borderId="11" xfId="4" applyFill="1" applyBorder="1" applyProtection="1">
      <protection locked="0"/>
    </xf>
    <xf numFmtId="0" fontId="1" fillId="2" borderId="12" xfId="4" applyFill="1" applyBorder="1" applyProtection="1">
      <protection locked="0"/>
    </xf>
    <xf numFmtId="0" fontId="2" fillId="4" borderId="0" xfId="4" applyFont="1" applyFill="1" applyBorder="1" applyAlignment="1" applyProtection="1">
      <alignment horizontal="left"/>
      <protection locked="0"/>
    </xf>
    <xf numFmtId="0" fontId="2" fillId="4" borderId="0" xfId="4" applyFont="1" applyFill="1" applyBorder="1" applyProtection="1">
      <protection locked="0"/>
    </xf>
    <xf numFmtId="0" fontId="1" fillId="4" borderId="15" xfId="4" applyFill="1" applyBorder="1" applyProtection="1">
      <protection locked="0"/>
    </xf>
    <xf numFmtId="0" fontId="1" fillId="4" borderId="16" xfId="4" applyFill="1" applyBorder="1" applyProtection="1">
      <protection locked="0"/>
    </xf>
    <xf numFmtId="0" fontId="1" fillId="4" borderId="17" xfId="4" applyFill="1" applyBorder="1" applyProtection="1">
      <protection locked="0"/>
    </xf>
    <xf numFmtId="0" fontId="0" fillId="8" borderId="0" xfId="0" applyFill="1" applyAlignment="1" applyProtection="1">
      <alignment horizontal="center"/>
      <protection locked="0"/>
    </xf>
    <xf numFmtId="0" fontId="5" fillId="0" borderId="0" xfId="0" applyFont="1" applyProtection="1">
      <protection locked="0"/>
    </xf>
    <xf numFmtId="165" fontId="0" fillId="2" borderId="0" xfId="0" applyNumberFormat="1" applyFill="1" applyBorder="1" applyProtection="1">
      <protection locked="0"/>
    </xf>
    <xf numFmtId="0" fontId="0" fillId="0" borderId="0" xfId="0" applyNumberFormat="1" applyProtection="1">
      <protection locked="0"/>
    </xf>
    <xf numFmtId="0" fontId="0" fillId="2" borderId="10" xfId="0" applyNumberFormat="1" applyFill="1" applyBorder="1" applyProtection="1">
      <protection locked="0"/>
    </xf>
    <xf numFmtId="165" fontId="0" fillId="2" borderId="10" xfId="0" applyNumberFormat="1" applyFill="1" applyBorder="1" applyAlignment="1" applyProtection="1">
      <alignment horizontal="left"/>
      <protection locked="0"/>
    </xf>
    <xf numFmtId="0" fontId="6" fillId="8" borderId="0" xfId="0" applyFont="1" applyFill="1" applyProtection="1">
      <protection locked="0"/>
    </xf>
    <xf numFmtId="0" fontId="0" fillId="8" borderId="0" xfId="0" applyFill="1" applyProtection="1">
      <protection locked="0"/>
    </xf>
    <xf numFmtId="0" fontId="15" fillId="4" borderId="1" xfId="0" applyFont="1" applyFill="1" applyBorder="1" applyProtection="1">
      <protection locked="0"/>
    </xf>
    <xf numFmtId="44" fontId="0" fillId="2" borderId="10" xfId="1" applyFont="1" applyFill="1" applyBorder="1" applyProtection="1">
      <protection locked="0"/>
    </xf>
    <xf numFmtId="168" fontId="6" fillId="0" borderId="0" xfId="0" applyNumberFormat="1" applyFont="1" applyAlignment="1" applyProtection="1">
      <alignment horizontal="center"/>
    </xf>
    <xf numFmtId="168" fontId="0" fillId="0" borderId="0" xfId="0" applyNumberFormat="1" applyProtection="1">
      <protection locked="0"/>
    </xf>
    <xf numFmtId="49" fontId="2" fillId="0" borderId="9" xfId="0" applyNumberFormat="1" applyFont="1" applyBorder="1" applyAlignment="1" applyProtection="1">
      <alignment horizontal="center"/>
      <protection locked="0"/>
    </xf>
    <xf numFmtId="44" fontId="0" fillId="2" borderId="11" xfId="1" applyFont="1" applyFill="1" applyBorder="1" applyAlignment="1" applyProtection="1">
      <protection locked="0"/>
    </xf>
    <xf numFmtId="44" fontId="0" fillId="2" borderId="12" xfId="1" applyFont="1" applyFill="1" applyBorder="1" applyAlignment="1" applyProtection="1">
      <protection locked="0"/>
    </xf>
    <xf numFmtId="0" fontId="18" fillId="0" borderId="0" xfId="0" applyFont="1"/>
    <xf numFmtId="0" fontId="2" fillId="9" borderId="9" xfId="0" applyFont="1" applyFill="1" applyBorder="1"/>
    <xf numFmtId="0" fontId="2" fillId="9" borderId="9" xfId="0" applyFont="1" applyFill="1" applyBorder="1" applyAlignment="1">
      <alignment horizontal="center"/>
    </xf>
    <xf numFmtId="0" fontId="2" fillId="10" borderId="0" xfId="0" applyFont="1" applyFill="1" applyProtection="1">
      <protection locked="0"/>
    </xf>
    <xf numFmtId="0" fontId="2" fillId="10" borderId="0" xfId="0" applyFont="1" applyFill="1" applyAlignment="1" applyProtection="1">
      <alignment horizontal="center"/>
      <protection locked="0"/>
    </xf>
    <xf numFmtId="0" fontId="0" fillId="0" borderId="0" xfId="0" applyAlignment="1" applyProtection="1">
      <alignment horizontal="left"/>
      <protection locked="0"/>
    </xf>
    <xf numFmtId="0" fontId="19" fillId="0" borderId="9" xfId="0" applyFont="1" applyBorder="1" applyProtection="1">
      <protection locked="0"/>
    </xf>
    <xf numFmtId="0" fontId="19" fillId="0" borderId="9" xfId="0" applyFont="1" applyBorder="1" applyAlignment="1" applyProtection="1">
      <alignment horizontal="center"/>
      <protection locked="0"/>
    </xf>
    <xf numFmtId="0" fontId="19" fillId="0" borderId="9" xfId="0" quotePrefix="1" applyFont="1" applyBorder="1" applyAlignment="1" applyProtection="1">
      <alignment horizontal="left"/>
      <protection locked="0"/>
    </xf>
    <xf numFmtId="0" fontId="19" fillId="0" borderId="9" xfId="0" quotePrefix="1" applyFont="1" applyBorder="1" applyAlignment="1" applyProtection="1">
      <alignment horizontal="center"/>
      <protection locked="0"/>
    </xf>
    <xf numFmtId="44" fontId="19" fillId="0" borderId="9" xfId="1" quotePrefix="1" applyFont="1" applyBorder="1" applyAlignment="1" applyProtection="1">
      <alignment horizontal="left"/>
      <protection locked="0"/>
    </xf>
    <xf numFmtId="0" fontId="6" fillId="0" borderId="0" xfId="0" applyFont="1" applyFill="1" applyAlignment="1" applyProtection="1">
      <alignment horizontal="center"/>
    </xf>
    <xf numFmtId="0" fontId="0" fillId="0" borderId="0" xfId="0" applyFont="1" applyFill="1" applyAlignment="1" applyProtection="1"/>
    <xf numFmtId="0" fontId="4" fillId="0" borderId="0" xfId="0" applyFont="1" applyFill="1" applyProtection="1"/>
    <xf numFmtId="0" fontId="6" fillId="0" borderId="0" xfId="0" applyFont="1" applyFill="1" applyProtection="1">
      <protection locked="0"/>
    </xf>
    <xf numFmtId="0" fontId="0" fillId="0" borderId="0" xfId="0" applyFill="1" applyAlignment="1" applyProtection="1">
      <alignment horizontal="center"/>
      <protection locked="0"/>
    </xf>
    <xf numFmtId="0" fontId="2" fillId="0" borderId="0" xfId="0" applyFont="1" applyFill="1" applyProtection="1">
      <protection locked="0"/>
    </xf>
    <xf numFmtId="0" fontId="2" fillId="0" borderId="0" xfId="0" applyFont="1" applyFill="1" applyAlignment="1" applyProtection="1">
      <alignment horizontal="center"/>
      <protection locked="0"/>
    </xf>
    <xf numFmtId="0" fontId="0" fillId="0" borderId="0" xfId="0" applyFill="1" applyProtection="1">
      <protection locked="0"/>
    </xf>
    <xf numFmtId="0" fontId="4" fillId="3" borderId="9" xfId="0" applyFont="1" applyFill="1" applyBorder="1" applyAlignment="1">
      <alignment horizontal="center"/>
    </xf>
    <xf numFmtId="0" fontId="4" fillId="3" borderId="9" xfId="0" quotePrefix="1" applyFont="1" applyFill="1" applyBorder="1" applyAlignment="1">
      <alignment horizontal="center"/>
    </xf>
    <xf numFmtId="0" fontId="2" fillId="9" borderId="22" xfId="0" applyFont="1" applyFill="1" applyBorder="1" applyAlignment="1">
      <alignment horizontal="center"/>
    </xf>
    <xf numFmtId="0" fontId="2" fillId="9" borderId="2" xfId="0" quotePrefix="1" applyFont="1" applyFill="1" applyBorder="1" applyAlignment="1">
      <alignment horizontal="left"/>
    </xf>
    <xf numFmtId="0" fontId="2" fillId="9" borderId="2" xfId="0" applyFont="1" applyFill="1" applyBorder="1"/>
    <xf numFmtId="0" fontId="2" fillId="9" borderId="2" xfId="0" applyFont="1" applyFill="1" applyBorder="1" applyAlignment="1">
      <alignment horizontal="center"/>
    </xf>
    <xf numFmtId="0" fontId="2" fillId="9" borderId="2" xfId="0" quotePrefix="1" applyFont="1" applyFill="1" applyBorder="1" applyAlignment="1">
      <alignment horizontal="center"/>
    </xf>
    <xf numFmtId="44" fontId="2" fillId="9" borderId="2" xfId="1" quotePrefix="1" applyNumberFormat="1" applyFont="1" applyFill="1" applyBorder="1" applyAlignment="1">
      <alignment horizontal="left"/>
    </xf>
    <xf numFmtId="0" fontId="2" fillId="0" borderId="22" xfId="0" applyFont="1" applyBorder="1" applyAlignment="1">
      <alignment horizontal="center"/>
    </xf>
    <xf numFmtId="0" fontId="2" fillId="0" borderId="9" xfId="0" quotePrefix="1" applyFont="1" applyBorder="1" applyAlignment="1">
      <alignment horizontal="left"/>
    </xf>
    <xf numFmtId="0" fontId="2" fillId="0" borderId="9" xfId="0" quotePrefix="1" applyFont="1" applyBorder="1" applyAlignment="1">
      <alignment horizontal="center"/>
    </xf>
    <xf numFmtId="44" fontId="2" fillId="0" borderId="9" xfId="1" quotePrefix="1" applyNumberFormat="1" applyFont="1" applyBorder="1" applyAlignment="1">
      <alignment horizontal="left"/>
    </xf>
    <xf numFmtId="0" fontId="2" fillId="9" borderId="9" xfId="0" quotePrefix="1" applyFont="1" applyFill="1" applyBorder="1" applyAlignment="1">
      <alignment horizontal="left"/>
    </xf>
    <xf numFmtId="0" fontId="2" fillId="9" borderId="9" xfId="0" quotePrefix="1" applyFont="1" applyFill="1" applyBorder="1" applyAlignment="1">
      <alignment horizontal="center"/>
    </xf>
    <xf numFmtId="44" fontId="2" fillId="9" borderId="9" xfId="1" quotePrefix="1" applyNumberFormat="1" applyFont="1" applyFill="1" applyBorder="1" applyAlignment="1">
      <alignment horizontal="left"/>
    </xf>
    <xf numFmtId="0" fontId="7" fillId="0" borderId="0" xfId="0" applyFont="1" applyAlignment="1" applyProtection="1">
      <alignment horizontal="left" vertical="top"/>
    </xf>
    <xf numFmtId="0" fontId="0" fillId="4" borderId="0" xfId="0" applyFill="1" applyBorder="1" applyProtection="1"/>
    <xf numFmtId="0" fontId="2" fillId="4" borderId="0" xfId="0" applyFont="1" applyFill="1" applyBorder="1" applyAlignment="1" applyProtection="1">
      <alignment horizontal="left"/>
    </xf>
    <xf numFmtId="0" fontId="0" fillId="4" borderId="0" xfId="0" applyFill="1" applyBorder="1" applyAlignment="1" applyProtection="1">
      <alignment horizontal="left" indent="1"/>
    </xf>
    <xf numFmtId="0" fontId="2" fillId="0" borderId="2" xfId="0" applyFont="1" applyBorder="1" applyAlignment="1" applyProtection="1">
      <alignment horizontal="left"/>
      <protection locked="0"/>
    </xf>
    <xf numFmtId="0" fontId="2" fillId="4" borderId="0" xfId="0" applyFont="1" applyFill="1" applyBorder="1" applyProtection="1"/>
    <xf numFmtId="0" fontId="0" fillId="0" borderId="0" xfId="0" applyProtection="1">
      <protection locked="0"/>
    </xf>
    <xf numFmtId="165" fontId="6" fillId="0" borderId="0" xfId="0" applyNumberFormat="1" applyFont="1" applyAlignment="1" applyProtection="1">
      <alignment horizontal="left"/>
    </xf>
    <xf numFmtId="165" fontId="2" fillId="0" borderId="0" xfId="0" applyNumberFormat="1" applyFont="1" applyAlignment="1" applyProtection="1">
      <alignment horizontal="left"/>
      <protection locked="0"/>
    </xf>
    <xf numFmtId="165" fontId="4" fillId="3" borderId="9" xfId="0" applyNumberFormat="1" applyFont="1" applyFill="1" applyBorder="1" applyAlignment="1" applyProtection="1">
      <alignment horizontal="left"/>
      <protection locked="0"/>
    </xf>
    <xf numFmtId="165" fontId="2" fillId="0" borderId="2" xfId="1" quotePrefix="1" applyNumberFormat="1" applyFont="1" applyBorder="1" applyAlignment="1" applyProtection="1">
      <alignment horizontal="left"/>
      <protection locked="0"/>
    </xf>
    <xf numFmtId="165" fontId="2" fillId="0" borderId="9" xfId="1" quotePrefix="1" applyNumberFormat="1" applyFont="1" applyBorder="1" applyAlignment="1" applyProtection="1">
      <alignment horizontal="left"/>
      <protection locked="0"/>
    </xf>
    <xf numFmtId="165" fontId="2" fillId="0" borderId="9" xfId="0" applyNumberFormat="1" applyFont="1" applyBorder="1" applyAlignment="1" applyProtection="1">
      <alignment horizontal="left"/>
      <protection locked="0"/>
    </xf>
    <xf numFmtId="0" fontId="2" fillId="0" borderId="9" xfId="0" quotePrefix="1" applyFont="1" applyBorder="1" applyProtection="1">
      <protection locked="0"/>
    </xf>
    <xf numFmtId="0" fontId="0" fillId="2" borderId="10" xfId="0" applyFill="1" applyBorder="1" applyAlignment="1" applyProtection="1">
      <protection locked="0"/>
    </xf>
    <xf numFmtId="169" fontId="0" fillId="2" borderId="10" xfId="1" applyNumberFormat="1" applyFont="1" applyFill="1" applyBorder="1" applyProtection="1">
      <protection locked="0"/>
    </xf>
    <xf numFmtId="0" fontId="20" fillId="0" borderId="0" xfId="0" applyFont="1"/>
    <xf numFmtId="0" fontId="6" fillId="0" borderId="0" xfId="0" applyFont="1" applyProtection="1"/>
    <xf numFmtId="0" fontId="2" fillId="0" borderId="0" xfId="0" applyFont="1" applyProtection="1"/>
    <xf numFmtId="0" fontId="4" fillId="3" borderId="9" xfId="0" applyFont="1" applyFill="1" applyBorder="1" applyAlignment="1" applyProtection="1">
      <alignment horizontal="center"/>
    </xf>
    <xf numFmtId="0" fontId="4" fillId="3" borderId="9" xfId="0" quotePrefix="1" applyFont="1" applyFill="1" applyBorder="1" applyAlignment="1" applyProtection="1">
      <alignment horizontal="center"/>
    </xf>
    <xf numFmtId="0" fontId="0" fillId="4" borderId="4" xfId="0" applyFill="1" applyBorder="1" applyProtection="1"/>
    <xf numFmtId="0" fontId="0" fillId="4" borderId="5" xfId="0" applyFill="1" applyBorder="1" applyProtection="1"/>
    <xf numFmtId="0" fontId="0" fillId="4" borderId="6" xfId="0" applyFill="1" applyBorder="1" applyProtection="1"/>
    <xf numFmtId="0" fontId="2" fillId="0" borderId="2" xfId="0" quotePrefix="1" applyFont="1" applyBorder="1" applyAlignment="1" applyProtection="1">
      <alignment horizontal="left"/>
    </xf>
    <xf numFmtId="0" fontId="2" fillId="0" borderId="2" xfId="0" applyFont="1" applyBorder="1" applyProtection="1"/>
    <xf numFmtId="0" fontId="2" fillId="0" borderId="2" xfId="0" applyFont="1" applyBorder="1" applyAlignment="1" applyProtection="1">
      <alignment horizontal="center"/>
    </xf>
    <xf numFmtId="0" fontId="2" fillId="0" borderId="2" xfId="0" quotePrefix="1" applyFont="1" applyBorder="1" applyAlignment="1" applyProtection="1">
      <alignment horizontal="center"/>
    </xf>
    <xf numFmtId="44" fontId="2" fillId="0" borderId="2" xfId="1" quotePrefix="1" applyFont="1" applyBorder="1" applyAlignment="1" applyProtection="1">
      <alignment horizontal="left"/>
    </xf>
    <xf numFmtId="0" fontId="2" fillId="0" borderId="9" xfId="0" applyFont="1" applyBorder="1" applyProtection="1"/>
    <xf numFmtId="0" fontId="2" fillId="0" borderId="9" xfId="0" applyFont="1" applyBorder="1" applyAlignment="1" applyProtection="1">
      <alignment horizontal="center"/>
    </xf>
    <xf numFmtId="0" fontId="2" fillId="0" borderId="9" xfId="0" quotePrefix="1" applyFont="1" applyBorder="1" applyAlignment="1" applyProtection="1">
      <alignment horizontal="left"/>
    </xf>
    <xf numFmtId="0" fontId="2" fillId="0" borderId="9" xfId="0" quotePrefix="1" applyFont="1" applyBorder="1" applyAlignment="1" applyProtection="1">
      <alignment horizontal="center"/>
    </xf>
    <xf numFmtId="44" fontId="2" fillId="0" borderId="9" xfId="1" quotePrefix="1" applyFont="1" applyBorder="1" applyAlignment="1" applyProtection="1">
      <alignment horizontal="left"/>
    </xf>
    <xf numFmtId="0" fontId="0" fillId="4" borderId="7" xfId="0" applyFill="1" applyBorder="1" applyProtection="1"/>
    <xf numFmtId="0" fontId="0" fillId="4" borderId="8" xfId="0" applyFill="1" applyBorder="1" applyProtection="1"/>
    <xf numFmtId="0" fontId="15" fillId="4" borderId="7" xfId="0" applyFont="1" applyFill="1" applyBorder="1" applyProtection="1"/>
    <xf numFmtId="0" fontId="2" fillId="4" borderId="0" xfId="0" quotePrefix="1" applyFont="1" applyFill="1" applyBorder="1" applyAlignment="1" applyProtection="1">
      <alignment horizontal="left"/>
    </xf>
    <xf numFmtId="0" fontId="0" fillId="2" borderId="10" xfId="0" applyFill="1" applyBorder="1" applyProtection="1"/>
    <xf numFmtId="0" fontId="0" fillId="2" borderId="11" xfId="0" applyFill="1" applyBorder="1" applyProtection="1"/>
    <xf numFmtId="0" fontId="0" fillId="2" borderId="12" xfId="0" applyFill="1" applyBorder="1" applyProtection="1"/>
    <xf numFmtId="0" fontId="15" fillId="4" borderId="0" xfId="0" applyFont="1" applyFill="1" applyBorder="1" applyProtection="1"/>
    <xf numFmtId="0" fontId="0" fillId="4" borderId="15" xfId="0" applyFill="1" applyBorder="1" applyProtection="1"/>
    <xf numFmtId="0" fontId="0" fillId="4" borderId="16" xfId="0" applyFill="1" applyBorder="1" applyProtection="1"/>
    <xf numFmtId="0" fontId="0" fillId="4" borderId="17" xfId="0" applyFill="1" applyBorder="1" applyProtection="1"/>
    <xf numFmtId="164" fontId="0" fillId="2" borderId="10" xfId="0" applyNumberFormat="1" applyFill="1" applyBorder="1" applyAlignment="1" applyProtection="1">
      <alignment horizontal="left"/>
      <protection locked="0"/>
    </xf>
    <xf numFmtId="43" fontId="0" fillId="2" borderId="10" xfId="3" quotePrefix="1" applyFont="1" applyFill="1" applyBorder="1" applyAlignment="1" applyProtection="1">
      <alignment horizontal="left"/>
      <protection locked="0"/>
    </xf>
    <xf numFmtId="1" fontId="0" fillId="2" borderId="10" xfId="3" applyNumberFormat="1" applyFont="1" applyFill="1" applyBorder="1" applyAlignment="1" applyProtection="1">
      <alignment vertical="center"/>
      <protection locked="0"/>
    </xf>
    <xf numFmtId="1" fontId="0" fillId="2" borderId="11" xfId="3" applyNumberFormat="1" applyFont="1" applyFill="1" applyBorder="1" applyAlignment="1" applyProtection="1">
      <alignment vertical="center"/>
      <protection locked="0"/>
    </xf>
    <xf numFmtId="0" fontId="21" fillId="0" borderId="0" xfId="0" applyFont="1"/>
    <xf numFmtId="49" fontId="2" fillId="0" borderId="9" xfId="0" applyNumberFormat="1" applyFont="1" applyBorder="1" applyProtection="1">
      <protection locked="0"/>
    </xf>
    <xf numFmtId="0" fontId="0" fillId="2" borderId="11" xfId="0" applyFill="1" applyBorder="1" applyAlignment="1" applyProtection="1">
      <protection locked="0"/>
    </xf>
    <xf numFmtId="0" fontId="0" fillId="2" borderId="12" xfId="0" applyFill="1" applyBorder="1" applyAlignment="1" applyProtection="1">
      <protection locked="0"/>
    </xf>
    <xf numFmtId="0" fontId="0" fillId="2" borderId="10" xfId="0" applyNumberFormat="1" applyFill="1" applyBorder="1" applyAlignment="1" applyProtection="1">
      <protection locked="0"/>
    </xf>
    <xf numFmtId="49" fontId="0" fillId="2" borderId="11" xfId="0" applyNumberFormat="1" applyFill="1" applyBorder="1" applyAlignment="1" applyProtection="1">
      <protection locked="0"/>
    </xf>
    <xf numFmtId="49" fontId="0" fillId="2" borderId="12" xfId="0" applyNumberFormat="1" applyFill="1" applyBorder="1" applyAlignment="1" applyProtection="1">
      <protection locked="0"/>
    </xf>
    <xf numFmtId="0" fontId="5" fillId="0" borderId="0" xfId="0" applyFont="1" applyAlignment="1" applyProtection="1">
      <alignment horizontal="left"/>
    </xf>
    <xf numFmtId="49" fontId="6" fillId="0" borderId="0" xfId="0" applyNumberFormat="1" applyFont="1" applyAlignment="1" applyProtection="1">
      <alignment horizontal="center"/>
    </xf>
    <xf numFmtId="44" fontId="6" fillId="0" borderId="0" xfId="1" applyFont="1" applyAlignment="1" applyProtection="1">
      <alignment horizontal="center"/>
    </xf>
    <xf numFmtId="49" fontId="4" fillId="3" borderId="9" xfId="0" applyNumberFormat="1" applyFont="1" applyFill="1" applyBorder="1" applyAlignment="1" applyProtection="1">
      <alignment horizontal="center"/>
      <protection locked="0"/>
    </xf>
    <xf numFmtId="44" fontId="4" fillId="3" borderId="9" xfId="1" applyFont="1" applyFill="1" applyBorder="1" applyAlignment="1" applyProtection="1">
      <alignment horizontal="center"/>
      <protection locked="0"/>
    </xf>
    <xf numFmtId="0" fontId="22" fillId="0" borderId="0" xfId="0" quotePrefix="1" applyFont="1" applyAlignment="1">
      <alignment horizontal="left"/>
    </xf>
    <xf numFmtId="0" fontId="7" fillId="0" borderId="0" xfId="0" applyFont="1" applyAlignment="1" applyProtection="1">
      <alignment horizontal="right"/>
    </xf>
    <xf numFmtId="165" fontId="2" fillId="0" borderId="2" xfId="1" quotePrefix="1" applyNumberFormat="1" applyFont="1" applyBorder="1" applyAlignment="1" applyProtection="1">
      <protection locked="0"/>
    </xf>
    <xf numFmtId="165" fontId="2" fillId="0" borderId="9" xfId="1" quotePrefix="1" applyNumberFormat="1" applyFont="1" applyBorder="1" applyAlignment="1" applyProtection="1">
      <protection locked="0"/>
    </xf>
    <xf numFmtId="165" fontId="2" fillId="0" borderId="9" xfId="0" applyNumberFormat="1" applyFont="1" applyBorder="1" applyAlignment="1" applyProtection="1">
      <protection locked="0"/>
    </xf>
    <xf numFmtId="0" fontId="0" fillId="2" borderId="11" xfId="0" applyFill="1" applyBorder="1" applyAlignment="1" applyProtection="1">
      <alignment horizontal="center"/>
      <protection locked="0"/>
    </xf>
    <xf numFmtId="0" fontId="0" fillId="2" borderId="10" xfId="0" applyFill="1" applyBorder="1" applyProtection="1">
      <protection locked="0"/>
    </xf>
    <xf numFmtId="0" fontId="0" fillId="2" borderId="11" xfId="0" applyFill="1" applyBorder="1" applyProtection="1">
      <protection locked="0"/>
    </xf>
    <xf numFmtId="0" fontId="0" fillId="2" borderId="12" xfId="0" applyFill="1" applyBorder="1" applyProtection="1">
      <protection locked="0"/>
    </xf>
    <xf numFmtId="0" fontId="0" fillId="0" borderId="0" xfId="0" applyAlignment="1">
      <alignment horizontal="left"/>
    </xf>
    <xf numFmtId="0" fontId="23" fillId="0" borderId="0" xfId="0" applyFont="1"/>
    <xf numFmtId="1" fontId="0" fillId="2" borderId="10" xfId="0" applyNumberFormat="1" applyFill="1" applyBorder="1" applyAlignment="1" applyProtection="1">
      <alignment horizontal="left"/>
      <protection locked="0"/>
    </xf>
    <xf numFmtId="44" fontId="0" fillId="2" borderId="10" xfId="0" applyNumberFormat="1" applyFill="1" applyBorder="1" applyProtection="1">
      <protection locked="0"/>
    </xf>
    <xf numFmtId="0" fontId="0" fillId="0" borderId="0" xfId="0" applyNumberFormat="1"/>
    <xf numFmtId="0" fontId="0" fillId="0" borderId="0" xfId="0" pivotButton="1"/>
    <xf numFmtId="0" fontId="0" fillId="0" borderId="11" xfId="0" applyBorder="1" applyAlignment="1"/>
    <xf numFmtId="0" fontId="0" fillId="0" borderId="12" xfId="0" applyBorder="1" applyAlignment="1"/>
    <xf numFmtId="0" fontId="4" fillId="0" borderId="0" xfId="1" quotePrefix="1" applyNumberFormat="1" applyFont="1" applyBorder="1" applyAlignment="1" applyProtection="1">
      <alignment horizontal="left"/>
    </xf>
    <xf numFmtId="43" fontId="0" fillId="8" borderId="0" xfId="3" applyFont="1" applyFill="1" applyProtection="1">
      <protection locked="0"/>
    </xf>
    <xf numFmtId="0" fontId="0" fillId="2" borderId="0" xfId="0" quotePrefix="1" applyFill="1" applyAlignment="1">
      <alignment horizontal="left"/>
    </xf>
    <xf numFmtId="0" fontId="0" fillId="2" borderId="0" xfId="0" applyFill="1"/>
    <xf numFmtId="44" fontId="0" fillId="2" borderId="0" xfId="1" applyFont="1" applyFill="1" applyBorder="1" applyAlignment="1" applyProtection="1">
      <alignment horizontal="left"/>
      <protection locked="0"/>
    </xf>
    <xf numFmtId="0" fontId="2" fillId="0" borderId="1" xfId="0" quotePrefix="1" applyFont="1" applyBorder="1" applyAlignment="1">
      <alignment horizontal="center"/>
    </xf>
    <xf numFmtId="0" fontId="2" fillId="0" borderId="1" xfId="0" applyFont="1" applyFill="1" applyBorder="1" applyAlignment="1">
      <alignment horizontal="center"/>
    </xf>
    <xf numFmtId="0" fontId="3" fillId="0" borderId="0" xfId="2" quotePrefix="1" applyAlignment="1">
      <alignment horizontal="left"/>
    </xf>
    <xf numFmtId="0" fontId="25" fillId="0" borderId="0" xfId="0" applyFont="1" applyProtection="1"/>
    <xf numFmtId="171" fontId="25" fillId="0" borderId="0" xfId="3" applyNumberFormat="1" applyFont="1" applyProtection="1"/>
    <xf numFmtId="0" fontId="7" fillId="0" borderId="0" xfId="0" applyFont="1" applyProtection="1">
      <protection locked="0"/>
    </xf>
    <xf numFmtId="0" fontId="25" fillId="0" borderId="0" xfId="0" quotePrefix="1" applyFont="1" applyAlignment="1" applyProtection="1">
      <alignment horizontal="left"/>
    </xf>
    <xf numFmtId="0" fontId="2" fillId="0" borderId="10" xfId="0" applyFont="1" applyBorder="1" applyProtection="1">
      <protection locked="0"/>
    </xf>
    <xf numFmtId="0" fontId="2" fillId="4" borderId="7" xfId="0" quotePrefix="1" applyFont="1" applyFill="1" applyBorder="1" applyAlignment="1" applyProtection="1">
      <alignment horizontal="center"/>
      <protection locked="0"/>
    </xf>
    <xf numFmtId="0" fontId="2" fillId="4" borderId="0" xfId="0" quotePrefix="1" applyFont="1" applyFill="1" applyBorder="1" applyAlignment="1" applyProtection="1">
      <alignment horizontal="center"/>
      <protection locked="0"/>
    </xf>
    <xf numFmtId="0" fontId="2" fillId="4" borderId="8" xfId="0" quotePrefix="1" applyFont="1" applyFill="1" applyBorder="1" applyAlignment="1" applyProtection="1">
      <alignment horizontal="center"/>
      <protection locked="0"/>
    </xf>
    <xf numFmtId="0" fontId="8" fillId="4" borderId="7" xfId="0" applyFont="1" applyFill="1" applyBorder="1" applyAlignment="1" applyProtection="1">
      <alignment horizontal="center"/>
      <protection locked="0"/>
    </xf>
    <xf numFmtId="0" fontId="8" fillId="4" borderId="0" xfId="0" applyFont="1" applyFill="1" applyBorder="1" applyAlignment="1" applyProtection="1">
      <alignment horizontal="center"/>
      <protection locked="0"/>
    </xf>
    <xf numFmtId="0" fontId="8" fillId="4" borderId="8" xfId="0" applyFont="1" applyFill="1" applyBorder="1" applyAlignment="1" applyProtection="1">
      <alignment horizontal="center"/>
      <protection locked="0"/>
    </xf>
    <xf numFmtId="0" fontId="0" fillId="2" borderId="10" xfId="0" applyFill="1" applyBorder="1" applyAlignment="1" applyProtection="1">
      <alignment horizontal="left"/>
      <protection locked="0"/>
    </xf>
    <xf numFmtId="0" fontId="0" fillId="0" borderId="11" xfId="0" applyBorder="1" applyAlignment="1">
      <alignment horizontal="left"/>
    </xf>
    <xf numFmtId="44" fontId="0" fillId="2" borderId="10" xfId="1" applyFont="1" applyFill="1" applyBorder="1" applyAlignment="1" applyProtection="1">
      <protection locked="0"/>
    </xf>
    <xf numFmtId="44" fontId="0" fillId="0" borderId="11" xfId="1" applyFont="1" applyBorder="1" applyAlignment="1"/>
    <xf numFmtId="0" fontId="0" fillId="0" borderId="11" xfId="0" applyBorder="1" applyAlignment="1"/>
    <xf numFmtId="164" fontId="0" fillId="2" borderId="10" xfId="0" applyNumberFormat="1" applyFill="1" applyBorder="1" applyAlignment="1" applyProtection="1">
      <alignment horizontal="left"/>
      <protection locked="0"/>
    </xf>
    <xf numFmtId="164" fontId="0" fillId="2" borderId="11" xfId="0" applyNumberFormat="1" applyFill="1" applyBorder="1" applyAlignment="1" applyProtection="1">
      <alignment horizontal="left"/>
      <protection locked="0"/>
    </xf>
    <xf numFmtId="164" fontId="0" fillId="2" borderId="12" xfId="0" applyNumberFormat="1" applyFill="1" applyBorder="1" applyAlignment="1" applyProtection="1">
      <alignment horizontal="left"/>
      <protection locked="0"/>
    </xf>
    <xf numFmtId="0" fontId="0" fillId="2" borderId="11" xfId="0" applyFill="1" applyBorder="1" applyAlignment="1" applyProtection="1">
      <alignment horizontal="left"/>
      <protection locked="0"/>
    </xf>
    <xf numFmtId="0" fontId="0" fillId="2" borderId="12" xfId="0" applyFill="1" applyBorder="1" applyAlignment="1" applyProtection="1">
      <alignment horizontal="left"/>
      <protection locked="0"/>
    </xf>
    <xf numFmtId="44" fontId="0" fillId="2" borderId="10" xfId="1" quotePrefix="1" applyFont="1" applyFill="1" applyBorder="1" applyAlignment="1" applyProtection="1">
      <alignment horizontal="left"/>
      <protection locked="0"/>
    </xf>
    <xf numFmtId="44" fontId="0" fillId="2" borderId="11" xfId="1" applyFont="1" applyFill="1" applyBorder="1" applyAlignment="1" applyProtection="1">
      <alignment horizontal="left"/>
      <protection locked="0"/>
    </xf>
    <xf numFmtId="165" fontId="0" fillId="2" borderId="10" xfId="1" quotePrefix="1" applyNumberFormat="1" applyFont="1" applyFill="1" applyBorder="1" applyAlignment="1" applyProtection="1">
      <alignment horizontal="left"/>
      <protection locked="0"/>
    </xf>
    <xf numFmtId="165" fontId="0" fillId="2" borderId="11" xfId="1" applyNumberFormat="1" applyFont="1" applyFill="1" applyBorder="1" applyAlignment="1" applyProtection="1">
      <alignment horizontal="left"/>
      <protection locked="0"/>
    </xf>
    <xf numFmtId="165" fontId="0" fillId="2" borderId="12" xfId="1" applyNumberFormat="1" applyFont="1" applyFill="1" applyBorder="1" applyAlignment="1" applyProtection="1">
      <alignment horizontal="left"/>
      <protection locked="0"/>
    </xf>
    <xf numFmtId="0" fontId="12" fillId="6" borderId="7" xfId="0" quotePrefix="1" applyFont="1" applyFill="1" applyBorder="1" applyAlignment="1" applyProtection="1">
      <alignment horizontal="center"/>
      <protection locked="0"/>
    </xf>
    <xf numFmtId="0" fontId="12" fillId="6" borderId="0" xfId="0" quotePrefix="1" applyFont="1" applyFill="1" applyBorder="1" applyAlignment="1" applyProtection="1">
      <alignment horizontal="center"/>
      <protection locked="0"/>
    </xf>
    <xf numFmtId="0" fontId="12" fillId="6" borderId="8" xfId="0" quotePrefix="1" applyFont="1" applyFill="1" applyBorder="1" applyAlignment="1" applyProtection="1">
      <alignment horizontal="center"/>
      <protection locked="0"/>
    </xf>
    <xf numFmtId="0" fontId="13" fillId="6" borderId="7" xfId="0" applyFont="1" applyFill="1" applyBorder="1" applyAlignment="1" applyProtection="1">
      <alignment horizontal="center"/>
      <protection locked="0"/>
    </xf>
    <xf numFmtId="0" fontId="13" fillId="6" borderId="0" xfId="0" applyFont="1" applyFill="1" applyBorder="1" applyAlignment="1" applyProtection="1">
      <alignment horizontal="center"/>
      <protection locked="0"/>
    </xf>
    <xf numFmtId="0" fontId="13" fillId="6" borderId="8" xfId="0" applyFont="1" applyFill="1" applyBorder="1" applyAlignment="1" applyProtection="1">
      <alignment horizontal="center"/>
      <protection locked="0"/>
    </xf>
    <xf numFmtId="0" fontId="0" fillId="0" borderId="0" xfId="0" applyFont="1" applyAlignment="1">
      <alignment horizontal="left"/>
    </xf>
    <xf numFmtId="166" fontId="0" fillId="0" borderId="0" xfId="1" quotePrefix="1" applyNumberFormat="1" applyFont="1" applyAlignment="1">
      <alignment horizontal="left"/>
    </xf>
    <xf numFmtId="166" fontId="1" fillId="0" borderId="0" xfId="1" applyNumberFormat="1" applyFont="1" applyAlignment="1">
      <alignment horizontal="left"/>
    </xf>
    <xf numFmtId="0" fontId="0" fillId="2" borderId="10" xfId="0" applyFill="1" applyBorder="1" applyAlignment="1" applyProtection="1">
      <alignment horizontal="center"/>
      <protection locked="0"/>
    </xf>
    <xf numFmtId="0" fontId="0" fillId="2" borderId="11" xfId="0" applyFill="1" applyBorder="1" applyAlignment="1" applyProtection="1">
      <alignment horizontal="center"/>
      <protection locked="0"/>
    </xf>
    <xf numFmtId="44" fontId="0" fillId="2" borderId="11" xfId="1" applyFont="1" applyFill="1" applyBorder="1" applyAlignment="1" applyProtection="1">
      <alignment horizontal="center"/>
      <protection locked="0"/>
    </xf>
    <xf numFmtId="43" fontId="0" fillId="2" borderId="10" xfId="3" quotePrefix="1" applyFont="1" applyFill="1" applyBorder="1" applyAlignment="1" applyProtection="1">
      <alignment horizontal="left"/>
      <protection locked="0"/>
    </xf>
    <xf numFmtId="43" fontId="0" fillId="2" borderId="11" xfId="3" applyFont="1" applyFill="1" applyBorder="1" applyAlignment="1" applyProtection="1">
      <alignment horizontal="left"/>
      <protection locked="0"/>
    </xf>
    <xf numFmtId="4" fontId="0" fillId="2" borderId="10" xfId="3" applyNumberFormat="1" applyFont="1" applyFill="1" applyBorder="1" applyAlignment="1" applyProtection="1">
      <alignment horizontal="left"/>
      <protection locked="0"/>
    </xf>
    <xf numFmtId="4" fontId="0" fillId="2" borderId="11" xfId="3" applyNumberFormat="1" applyFont="1" applyFill="1" applyBorder="1" applyAlignment="1" applyProtection="1">
      <alignment horizontal="left"/>
      <protection locked="0"/>
    </xf>
    <xf numFmtId="4" fontId="0" fillId="2" borderId="12" xfId="3" applyNumberFormat="1" applyFont="1" applyFill="1" applyBorder="1" applyAlignment="1" applyProtection="1">
      <alignment horizontal="left"/>
      <protection locked="0"/>
    </xf>
    <xf numFmtId="0" fontId="2" fillId="4" borderId="7" xfId="4" quotePrefix="1" applyFont="1" applyFill="1" applyBorder="1" applyAlignment="1" applyProtection="1">
      <alignment horizontal="center"/>
      <protection locked="0"/>
    </xf>
    <xf numFmtId="0" fontId="2" fillId="4" borderId="0" xfId="4" quotePrefix="1" applyFont="1" applyFill="1" applyBorder="1" applyAlignment="1" applyProtection="1">
      <alignment horizontal="center"/>
      <protection locked="0"/>
    </xf>
    <xf numFmtId="0" fontId="2" fillId="4" borderId="8" xfId="4" quotePrefix="1" applyFont="1" applyFill="1" applyBorder="1" applyAlignment="1" applyProtection="1">
      <alignment horizontal="center"/>
      <protection locked="0"/>
    </xf>
    <xf numFmtId="0" fontId="8" fillId="4" borderId="7" xfId="4" applyFont="1" applyFill="1" applyBorder="1" applyAlignment="1" applyProtection="1">
      <alignment horizontal="center"/>
      <protection locked="0"/>
    </xf>
    <xf numFmtId="0" fontId="8" fillId="4" borderId="0" xfId="4" applyFont="1" applyFill="1" applyBorder="1" applyAlignment="1" applyProtection="1">
      <alignment horizontal="center"/>
      <protection locked="0"/>
    </xf>
    <xf numFmtId="0" fontId="8" fillId="4" borderId="8" xfId="4" applyFont="1" applyFill="1" applyBorder="1" applyAlignment="1" applyProtection="1">
      <alignment horizontal="center"/>
      <protection locked="0"/>
    </xf>
    <xf numFmtId="167" fontId="0" fillId="2" borderId="10" xfId="0" applyNumberFormat="1" applyFill="1" applyBorder="1" applyAlignment="1" applyProtection="1">
      <alignment horizontal="left"/>
      <protection locked="0"/>
    </xf>
    <xf numFmtId="167" fontId="0" fillId="2" borderId="11" xfId="0" applyNumberFormat="1" applyFill="1" applyBorder="1" applyAlignment="1" applyProtection="1">
      <alignment horizontal="left"/>
      <protection locked="0"/>
    </xf>
    <xf numFmtId="167" fontId="0" fillId="2" borderId="12" xfId="0" applyNumberFormat="1" applyFill="1" applyBorder="1" applyAlignment="1" applyProtection="1">
      <alignment horizontal="left"/>
      <protection locked="0"/>
    </xf>
    <xf numFmtId="165" fontId="0" fillId="2" borderId="10" xfId="0" applyNumberFormat="1" applyFill="1" applyBorder="1" applyAlignment="1" applyProtection="1">
      <alignment horizontal="left"/>
      <protection locked="0"/>
    </xf>
    <xf numFmtId="165" fontId="0" fillId="2" borderId="11" xfId="0" applyNumberFormat="1" applyFill="1" applyBorder="1" applyAlignment="1" applyProtection="1">
      <alignment horizontal="left"/>
      <protection locked="0"/>
    </xf>
    <xf numFmtId="165" fontId="0" fillId="2" borderId="12" xfId="0" applyNumberFormat="1" applyFill="1" applyBorder="1" applyAlignment="1" applyProtection="1">
      <alignment horizontal="left"/>
      <protection locked="0"/>
    </xf>
    <xf numFmtId="0" fontId="0" fillId="8" borderId="10" xfId="0" applyFill="1" applyBorder="1" applyAlignment="1" applyProtection="1">
      <alignment horizontal="left"/>
      <protection locked="0"/>
    </xf>
    <xf numFmtId="0" fontId="0" fillId="8" borderId="11" xfId="0" applyFill="1" applyBorder="1" applyAlignment="1" applyProtection="1">
      <alignment horizontal="left"/>
      <protection locked="0"/>
    </xf>
    <xf numFmtId="0" fontId="0" fillId="8" borderId="12" xfId="0" applyFill="1" applyBorder="1" applyAlignment="1" applyProtection="1">
      <alignment horizontal="left"/>
      <protection locked="0"/>
    </xf>
    <xf numFmtId="0" fontId="0" fillId="2" borderId="10" xfId="0" applyFill="1" applyBorder="1" applyAlignment="1" applyProtection="1">
      <alignment horizontal="left" wrapText="1"/>
      <protection locked="0"/>
    </xf>
    <xf numFmtId="0" fontId="0" fillId="2" borderId="11" xfId="0" applyFill="1" applyBorder="1" applyAlignment="1" applyProtection="1">
      <alignment horizontal="left" wrapText="1"/>
      <protection locked="0"/>
    </xf>
    <xf numFmtId="0" fontId="0" fillId="2" borderId="12" xfId="0" applyFill="1" applyBorder="1" applyAlignment="1" applyProtection="1">
      <alignment horizontal="left" wrapText="1"/>
      <protection locked="0"/>
    </xf>
    <xf numFmtId="44" fontId="0" fillId="2" borderId="10" xfId="1" applyFont="1" applyFill="1" applyBorder="1" applyAlignment="1" applyProtection="1">
      <alignment horizontal="left" wrapText="1"/>
      <protection locked="0"/>
    </xf>
    <xf numFmtId="44" fontId="0" fillId="2" borderId="11" xfId="1" applyFont="1" applyFill="1" applyBorder="1" applyAlignment="1" applyProtection="1">
      <alignment horizontal="left" wrapText="1"/>
      <protection locked="0"/>
    </xf>
    <xf numFmtId="44" fontId="0" fillId="2" borderId="12" xfId="1" applyFont="1" applyFill="1" applyBorder="1" applyAlignment="1" applyProtection="1">
      <alignment horizontal="left" wrapText="1"/>
      <protection locked="0"/>
    </xf>
    <xf numFmtId="44" fontId="0" fillId="2" borderId="10" xfId="1" applyFont="1" applyFill="1" applyBorder="1" applyAlignment="1" applyProtection="1">
      <alignment horizontal="center"/>
      <protection locked="0"/>
    </xf>
    <xf numFmtId="0" fontId="0" fillId="2" borderId="10" xfId="0" applyFill="1" applyBorder="1" applyAlignment="1" applyProtection="1">
      <alignment horizontal="left" indent="1"/>
    </xf>
    <xf numFmtId="0" fontId="0" fillId="2" borderId="11" xfId="0" applyFill="1" applyBorder="1" applyAlignment="1" applyProtection="1">
      <alignment horizontal="left" indent="1"/>
    </xf>
    <xf numFmtId="0" fontId="0" fillId="2" borderId="12" xfId="0" applyFill="1" applyBorder="1" applyAlignment="1" applyProtection="1">
      <alignment horizontal="left" indent="1"/>
    </xf>
    <xf numFmtId="0" fontId="0" fillId="0" borderId="0" xfId="0" applyProtection="1">
      <protection locked="0"/>
    </xf>
    <xf numFmtId="165" fontId="0" fillId="2" borderId="10" xfId="1" applyNumberFormat="1" applyFont="1" applyFill="1" applyBorder="1" applyAlignment="1" applyProtection="1">
      <alignment horizontal="left"/>
      <protection locked="0"/>
    </xf>
    <xf numFmtId="49" fontId="0" fillId="2" borderId="10" xfId="0" applyNumberFormat="1" applyFill="1" applyBorder="1" applyAlignment="1" applyProtection="1">
      <alignment horizontal="left"/>
      <protection locked="0"/>
    </xf>
    <xf numFmtId="49" fontId="0" fillId="2" borderId="11" xfId="0" applyNumberFormat="1" applyFill="1" applyBorder="1" applyAlignment="1" applyProtection="1">
      <alignment horizontal="left"/>
      <protection locked="0"/>
    </xf>
    <xf numFmtId="49" fontId="0" fillId="2" borderId="12" xfId="0" applyNumberFormat="1" applyFill="1" applyBorder="1" applyAlignment="1" applyProtection="1">
      <alignment horizontal="left"/>
      <protection locked="0"/>
    </xf>
    <xf numFmtId="44" fontId="0" fillId="2" borderId="10" xfId="1" applyFont="1" applyFill="1" applyBorder="1" applyAlignment="1" applyProtection="1">
      <alignment horizontal="left"/>
      <protection locked="0"/>
    </xf>
    <xf numFmtId="44" fontId="0" fillId="2" borderId="12" xfId="1" applyFont="1" applyFill="1" applyBorder="1" applyAlignment="1" applyProtection="1">
      <alignment horizontal="left"/>
      <protection locked="0"/>
    </xf>
    <xf numFmtId="0" fontId="19" fillId="11" borderId="4" xfId="0" applyFont="1" applyFill="1" applyBorder="1" applyAlignment="1" applyProtection="1">
      <alignment horizontal="center"/>
    </xf>
    <xf numFmtId="0" fontId="19" fillId="11" borderId="5" xfId="0" applyFont="1" applyFill="1" applyBorder="1" applyAlignment="1" applyProtection="1">
      <alignment horizontal="center"/>
    </xf>
    <xf numFmtId="0" fontId="19" fillId="11" borderId="6" xfId="0" applyFont="1" applyFill="1" applyBorder="1" applyAlignment="1" applyProtection="1">
      <alignment horizontal="center"/>
    </xf>
    <xf numFmtId="0" fontId="5" fillId="0" borderId="19" xfId="0" applyFont="1" applyBorder="1" applyAlignment="1" applyProtection="1">
      <alignment horizontal="left"/>
    </xf>
    <xf numFmtId="0" fontId="5" fillId="0" borderId="20" xfId="0" applyFont="1" applyBorder="1" applyAlignment="1" applyProtection="1">
      <alignment horizontal="left"/>
    </xf>
    <xf numFmtId="0" fontId="5" fillId="0" borderId="21" xfId="0" applyFont="1" applyBorder="1" applyAlignment="1" applyProtection="1">
      <alignment horizontal="left"/>
    </xf>
    <xf numFmtId="0" fontId="5" fillId="0" borderId="19" xfId="0" applyFont="1" applyBorder="1" applyAlignment="1" applyProtection="1">
      <alignment horizontal="center"/>
    </xf>
    <xf numFmtId="0" fontId="5" fillId="0" borderId="20" xfId="0" applyFont="1" applyBorder="1" applyAlignment="1" applyProtection="1">
      <alignment horizontal="center"/>
    </xf>
    <xf numFmtId="0" fontId="5" fillId="0" borderId="21" xfId="0" applyFont="1" applyBorder="1" applyAlignment="1" applyProtection="1">
      <alignment horizontal="center"/>
    </xf>
    <xf numFmtId="44" fontId="0" fillId="2" borderId="10" xfId="0" applyNumberFormat="1" applyFill="1" applyBorder="1" applyAlignment="1" applyProtection="1">
      <protection locked="0"/>
    </xf>
    <xf numFmtId="44" fontId="0" fillId="2" borderId="11" xfId="0" applyNumberFormat="1" applyFill="1" applyBorder="1" applyAlignment="1" applyProtection="1">
      <protection locked="0"/>
    </xf>
    <xf numFmtId="44" fontId="0" fillId="2" borderId="12" xfId="0" applyNumberFormat="1" applyFill="1" applyBorder="1" applyAlignment="1" applyProtection="1">
      <protection locked="0"/>
    </xf>
    <xf numFmtId="44" fontId="0" fillId="2" borderId="10" xfId="1" applyFont="1" applyFill="1" applyBorder="1" applyAlignment="1" applyProtection="1">
      <alignment horizontal="left"/>
    </xf>
    <xf numFmtId="44" fontId="0" fillId="2" borderId="11" xfId="1" applyFont="1" applyFill="1" applyBorder="1" applyAlignment="1" applyProtection="1">
      <alignment horizontal="left"/>
    </xf>
    <xf numFmtId="44" fontId="0" fillId="2" borderId="12" xfId="1" applyFont="1" applyFill="1" applyBorder="1" applyAlignment="1" applyProtection="1">
      <alignment horizontal="left"/>
    </xf>
    <xf numFmtId="0" fontId="8" fillId="4" borderId="7" xfId="0" applyFont="1" applyFill="1" applyBorder="1" applyAlignment="1" applyProtection="1">
      <alignment horizontal="center"/>
    </xf>
    <xf numFmtId="0" fontId="8" fillId="4" borderId="0" xfId="0" applyFont="1" applyFill="1" applyBorder="1" applyAlignment="1" applyProtection="1">
      <alignment horizontal="center"/>
    </xf>
    <xf numFmtId="0" fontId="8" fillId="4" borderId="8" xfId="0" applyFont="1" applyFill="1" applyBorder="1" applyAlignment="1" applyProtection="1">
      <alignment horizontal="center"/>
    </xf>
    <xf numFmtId="0" fontId="2" fillId="4" borderId="7" xfId="0" quotePrefix="1" applyFont="1" applyFill="1" applyBorder="1" applyAlignment="1" applyProtection="1">
      <alignment horizontal="center"/>
    </xf>
    <xf numFmtId="0" fontId="2" fillId="4" borderId="0" xfId="0" quotePrefix="1" applyFont="1" applyFill="1" applyBorder="1" applyAlignment="1" applyProtection="1">
      <alignment horizontal="center"/>
    </xf>
    <xf numFmtId="0" fontId="2" fillId="4" borderId="8" xfId="0" quotePrefix="1" applyFont="1" applyFill="1" applyBorder="1" applyAlignment="1" applyProtection="1">
      <alignment horizontal="center"/>
    </xf>
    <xf numFmtId="0" fontId="0" fillId="2" borderId="10" xfId="0" applyFill="1" applyBorder="1" applyAlignment="1" applyProtection="1">
      <alignment horizontal="left"/>
    </xf>
    <xf numFmtId="0" fontId="0" fillId="2" borderId="11" xfId="0" applyFill="1" applyBorder="1" applyAlignment="1" applyProtection="1">
      <alignment horizontal="left"/>
    </xf>
    <xf numFmtId="0" fontId="0" fillId="2" borderId="12" xfId="0" applyFill="1" applyBorder="1" applyAlignment="1" applyProtection="1">
      <alignment horizontal="left"/>
    </xf>
    <xf numFmtId="0" fontId="0" fillId="2" borderId="10" xfId="0" applyNumberFormat="1" applyFill="1" applyBorder="1" applyAlignment="1" applyProtection="1">
      <alignment horizontal="left"/>
    </xf>
    <xf numFmtId="0" fontId="0" fillId="2" borderId="11" xfId="0" applyNumberFormat="1" applyFill="1" applyBorder="1" applyAlignment="1" applyProtection="1">
      <alignment horizontal="left"/>
    </xf>
    <xf numFmtId="0" fontId="0" fillId="2" borderId="12" xfId="0" applyNumberFormat="1" applyFill="1" applyBorder="1" applyAlignment="1" applyProtection="1">
      <alignment horizontal="left"/>
    </xf>
    <xf numFmtId="1" fontId="21" fillId="0" borderId="0" xfId="0" applyNumberFormat="1" applyFont="1" applyAlignment="1">
      <alignment horizontal="left"/>
    </xf>
    <xf numFmtId="170" fontId="21" fillId="0" borderId="0" xfId="0" applyNumberFormat="1" applyFont="1" applyAlignment="1">
      <alignment horizontal="left"/>
    </xf>
    <xf numFmtId="0" fontId="0" fillId="2" borderId="10" xfId="3" applyNumberFormat="1" applyFont="1" applyFill="1" applyBorder="1" applyAlignment="1" applyProtection="1">
      <alignment horizontal="left"/>
      <protection locked="0"/>
    </xf>
    <xf numFmtId="0" fontId="0" fillId="2" borderId="11" xfId="3" applyNumberFormat="1" applyFont="1" applyFill="1" applyBorder="1" applyAlignment="1" applyProtection="1">
      <alignment horizontal="left"/>
      <protection locked="0"/>
    </xf>
    <xf numFmtId="0" fontId="0" fillId="2" borderId="12" xfId="3" applyNumberFormat="1" applyFont="1" applyFill="1" applyBorder="1" applyAlignment="1" applyProtection="1">
      <alignment horizontal="left"/>
      <protection locked="0"/>
    </xf>
    <xf numFmtId="44" fontId="0" fillId="2" borderId="10" xfId="0" applyNumberFormat="1" applyFill="1" applyBorder="1" applyAlignment="1" applyProtection="1">
      <alignment horizontal="left"/>
      <protection locked="0"/>
    </xf>
    <xf numFmtId="44" fontId="0" fillId="2" borderId="11" xfId="0" applyNumberFormat="1" applyFill="1" applyBorder="1" applyAlignment="1" applyProtection="1">
      <alignment horizontal="left"/>
      <protection locked="0"/>
    </xf>
    <xf numFmtId="44" fontId="0" fillId="2" borderId="12" xfId="0" applyNumberFormat="1" applyFill="1" applyBorder="1" applyAlignment="1" applyProtection="1">
      <alignment horizontal="left"/>
      <protection locked="0"/>
    </xf>
    <xf numFmtId="0" fontId="0" fillId="2" borderId="10" xfId="0" applyFill="1" applyBorder="1" applyAlignment="1" applyProtection="1">
      <protection locked="0"/>
    </xf>
    <xf numFmtId="0" fontId="0" fillId="0" borderId="12" xfId="0" applyBorder="1" applyAlignment="1"/>
    <xf numFmtId="165" fontId="0" fillId="0" borderId="11" xfId="0" applyNumberFormat="1" applyBorder="1" applyAlignment="1">
      <alignment horizontal="left"/>
    </xf>
    <xf numFmtId="165" fontId="0" fillId="0" borderId="12" xfId="0" applyNumberFormat="1" applyBorder="1" applyAlignment="1">
      <alignment horizontal="left"/>
    </xf>
    <xf numFmtId="0" fontId="0" fillId="0" borderId="12" xfId="0" applyBorder="1" applyAlignment="1">
      <alignment horizontal="left"/>
    </xf>
    <xf numFmtId="44" fontId="0" fillId="2" borderId="10" xfId="0" applyNumberFormat="1" applyFill="1" applyBorder="1" applyAlignment="1" applyProtection="1">
      <alignment horizontal="center"/>
      <protection locked="0"/>
    </xf>
    <xf numFmtId="44" fontId="0" fillId="2" borderId="11" xfId="0" applyNumberFormat="1" applyFill="1" applyBorder="1" applyAlignment="1" applyProtection="1">
      <alignment horizontal="center"/>
      <protection locked="0"/>
    </xf>
    <xf numFmtId="44" fontId="0" fillId="2" borderId="12" xfId="0" applyNumberFormat="1" applyFill="1" applyBorder="1" applyAlignment="1" applyProtection="1">
      <alignment horizontal="center"/>
      <protection locked="0"/>
    </xf>
    <xf numFmtId="43" fontId="0" fillId="2" borderId="10" xfId="3" applyFont="1" applyFill="1" applyBorder="1" applyProtection="1">
      <protection locked="0"/>
    </xf>
    <xf numFmtId="43" fontId="0" fillId="2" borderId="11" xfId="3" applyFont="1" applyFill="1" applyBorder="1" applyProtection="1">
      <protection locked="0"/>
    </xf>
    <xf numFmtId="0" fontId="0" fillId="2" borderId="10" xfId="0" applyFill="1" applyBorder="1" applyProtection="1">
      <protection locked="0"/>
    </xf>
    <xf numFmtId="0" fontId="0" fillId="2" borderId="11" xfId="0" applyFill="1" applyBorder="1" applyProtection="1">
      <protection locked="0"/>
    </xf>
    <xf numFmtId="0" fontId="0" fillId="2" borderId="12" xfId="0" applyFill="1" applyBorder="1" applyProtection="1">
      <protection locked="0"/>
    </xf>
    <xf numFmtId="1" fontId="0" fillId="0" borderId="0" xfId="0" applyNumberFormat="1" applyAlignment="1">
      <alignment horizontal="left"/>
    </xf>
    <xf numFmtId="0" fontId="0" fillId="0" borderId="0" xfId="0" applyAlignment="1">
      <alignment horizontal="left"/>
    </xf>
    <xf numFmtId="0" fontId="0" fillId="0" borderId="18" xfId="0" applyBorder="1" applyAlignment="1">
      <alignment horizontal="left"/>
    </xf>
    <xf numFmtId="7" fontId="0" fillId="0" borderId="0" xfId="0" applyNumberFormat="1" applyAlignment="1">
      <alignment horizontal="left"/>
    </xf>
    <xf numFmtId="7" fontId="0" fillId="0" borderId="18" xfId="0" applyNumberFormat="1" applyBorder="1" applyAlignment="1">
      <alignment horizontal="left"/>
    </xf>
    <xf numFmtId="44" fontId="2" fillId="0" borderId="10" xfId="1" quotePrefix="1" applyFont="1" applyBorder="1" applyAlignment="1" applyProtection="1">
      <alignment horizontal="center"/>
      <protection locked="0"/>
    </xf>
    <xf numFmtId="44" fontId="2" fillId="0" borderId="11" xfId="1" quotePrefix="1" applyFont="1" applyBorder="1" applyAlignment="1" applyProtection="1">
      <alignment horizontal="center"/>
      <protection locked="0"/>
    </xf>
    <xf numFmtId="44" fontId="2" fillId="0" borderId="12" xfId="1" quotePrefix="1" applyFont="1" applyBorder="1" applyAlignment="1" applyProtection="1">
      <alignment horizontal="center"/>
      <protection locked="0"/>
    </xf>
    <xf numFmtId="0" fontId="0" fillId="2" borderId="10" xfId="0" applyNumberFormat="1" applyFill="1" applyBorder="1" applyAlignment="1" applyProtection="1">
      <alignment horizontal="left"/>
      <protection locked="0"/>
    </xf>
    <xf numFmtId="0" fontId="0" fillId="2" borderId="11" xfId="0" applyNumberFormat="1" applyFill="1" applyBorder="1" applyAlignment="1" applyProtection="1">
      <alignment horizontal="left"/>
      <protection locked="0"/>
    </xf>
    <xf numFmtId="0" fontId="0" fillId="2" borderId="12" xfId="0" applyNumberFormat="1" applyFill="1" applyBorder="1" applyAlignment="1" applyProtection="1">
      <alignment horizontal="left"/>
      <protection locked="0"/>
    </xf>
    <xf numFmtId="44" fontId="0" fillId="2" borderId="12" xfId="1" applyFont="1" applyFill="1" applyBorder="1" applyAlignment="1" applyProtection="1">
      <alignment horizontal="center"/>
      <protection locked="0"/>
    </xf>
  </cellXfs>
  <cellStyles count="6">
    <cellStyle name="Comma" xfId="3" builtinId="3"/>
    <cellStyle name="Currency" xfId="1" builtinId="4"/>
    <cellStyle name="Currency 2" xfId="5"/>
    <cellStyle name="Hyperlink" xfId="2" builtinId="8"/>
    <cellStyle name="Normal" xfId="0" builtinId="0"/>
    <cellStyle name="Normal 3" xfId="4"/>
  </cellStyles>
  <dxfs count="53">
    <dxf>
      <font>
        <b/>
        <i val="0"/>
        <strike val="0"/>
        <condense val="0"/>
        <extend val="0"/>
        <outline val="0"/>
        <shadow val="0"/>
        <u val="none"/>
        <vertAlign val="baseline"/>
        <sz val="12"/>
        <color theme="1"/>
        <name val="Calibri"/>
        <scheme val="none"/>
      </font>
      <alignment horizontal="left" vertical="bottom" textRotation="0" wrapText="0" indent="0" justifyLastLine="0" shrinkToFit="0" readingOrder="0"/>
      <border diagonalUp="0" diagonalDown="0">
        <left style="thin">
          <color indexed="64"/>
        </left>
        <right/>
        <top style="thin">
          <color indexed="64"/>
        </top>
        <bottom style="thin">
          <color indexed="64"/>
        </bottom>
        <vertical/>
        <horizontal/>
      </border>
      <protection locked="0" hidden="0"/>
    </dxf>
    <dxf>
      <font>
        <b/>
        <i val="0"/>
        <strike val="0"/>
        <condense val="0"/>
        <extend val="0"/>
        <outline val="0"/>
        <shadow val="0"/>
        <u val="none"/>
        <vertAlign val="baseline"/>
        <sz val="12"/>
        <color theme="1"/>
        <name val="Calibri"/>
        <scheme val="none"/>
      </font>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2"/>
        <color theme="1"/>
        <name val="Calibri"/>
        <scheme val="none"/>
      </font>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2"/>
        <color theme="1"/>
        <name val="Calibri"/>
        <scheme val="none"/>
      </font>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2"/>
        <color theme="1"/>
        <name val="Calibri"/>
        <scheme val="none"/>
      </font>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2"/>
        <color theme="1"/>
        <name val="Calibri"/>
        <scheme val="none"/>
      </font>
      <border diagonalUp="0" diagonalDown="0">
        <left style="thin">
          <color indexed="64"/>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2"/>
        <color theme="1"/>
        <name val="Calibri"/>
        <scheme val="none"/>
      </font>
      <border diagonalUp="0" diagonalDown="0">
        <left style="thin">
          <color indexed="64"/>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2"/>
        <color theme="1"/>
        <name val="Calibri"/>
        <scheme val="none"/>
      </font>
      <border diagonalUp="0" diagonalDown="0">
        <left style="thin">
          <color indexed="64"/>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2"/>
        <color theme="1"/>
        <name val="Calibri"/>
        <scheme val="none"/>
      </font>
      <border diagonalUp="0" diagonalDown="0">
        <left style="thin">
          <color indexed="64"/>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2"/>
        <color theme="1"/>
        <name val="Calibri"/>
        <scheme val="none"/>
      </font>
      <alignment horizontal="center" vertical="bottom" textRotation="0" wrapText="0" indent="0" justifyLastLine="0" shrinkToFit="0" readingOrder="0"/>
      <protection locked="1" hidden="0"/>
    </dxf>
    <dxf>
      <border outline="0">
        <right style="thin">
          <color indexed="64"/>
        </right>
        <top style="thin">
          <color indexed="64"/>
        </top>
      </border>
    </dxf>
    <dxf>
      <font>
        <b/>
        <i val="0"/>
        <strike val="0"/>
        <condense val="0"/>
        <extend val="0"/>
        <outline val="0"/>
        <shadow val="0"/>
        <u val="none"/>
        <vertAlign val="baseline"/>
        <sz val="12"/>
        <color theme="1"/>
        <name val="Calibri"/>
        <scheme val="none"/>
      </font>
      <alignment horizontal="center" vertical="bottom" textRotation="0" wrapText="0" indent="0" justifyLastLine="0" shrinkToFit="0" readingOrder="0"/>
      <protection locked="0" hidden="0"/>
    </dxf>
    <dxf>
      <border outline="0">
        <bottom style="thin">
          <color indexed="64"/>
        </bottom>
      </border>
    </dxf>
    <dxf>
      <font>
        <b/>
        <i val="0"/>
        <strike val="0"/>
        <condense val="0"/>
        <extend val="0"/>
        <outline val="0"/>
        <shadow val="0"/>
        <u val="none"/>
        <vertAlign val="baseline"/>
        <sz val="12"/>
        <color theme="0"/>
        <name val="Calibri"/>
        <scheme val="none"/>
      </font>
      <fill>
        <patternFill patternType="solid">
          <fgColor indexed="64"/>
          <bgColor theme="8" tint="-0.249977111117893"/>
        </patternFill>
      </fill>
      <alignment horizontal="center" vertical="bottom" textRotation="0" wrapText="0" indent="0" justifyLastLine="0" shrinkToFit="0" readingOrder="0"/>
      <border diagonalUp="0" diagonalDown="0" outline="0">
        <left style="thin">
          <color indexed="64"/>
        </left>
        <right style="thin">
          <color indexed="64"/>
        </right>
        <top/>
        <bottom/>
      </border>
      <protection locked="0" hidden="0"/>
    </dxf>
    <dxf>
      <font>
        <color theme="2"/>
      </font>
      <fill>
        <patternFill>
          <bgColor theme="2"/>
        </patternFill>
      </fill>
    </dxf>
    <dxf>
      <font>
        <b/>
        <i val="0"/>
        <strike val="0"/>
        <condense val="0"/>
        <extend val="0"/>
        <outline val="0"/>
        <shadow val="0"/>
        <u val="none"/>
        <vertAlign val="baseline"/>
        <sz val="12"/>
        <color theme="1"/>
        <name val="Calibri"/>
        <scheme val="none"/>
      </font>
      <alignment horizontal="left" vertical="bottom" textRotation="0" wrapText="0" indent="0" justifyLastLine="0" shrinkToFit="0" readingOrder="0"/>
      <border diagonalUp="0" diagonalDown="0">
        <left style="thin">
          <color indexed="64"/>
        </left>
        <right/>
        <top style="thin">
          <color indexed="64"/>
        </top>
        <bottom style="thin">
          <color indexed="64"/>
        </bottom>
        <vertical/>
        <horizontal/>
      </border>
      <protection locked="0" hidden="0"/>
    </dxf>
    <dxf>
      <font>
        <b/>
        <i val="0"/>
        <strike val="0"/>
        <condense val="0"/>
        <extend val="0"/>
        <outline val="0"/>
        <shadow val="0"/>
        <u val="none"/>
        <vertAlign val="baseline"/>
        <sz val="12"/>
        <color theme="1"/>
        <name val="Calibri"/>
        <scheme val="none"/>
      </font>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2"/>
        <color theme="1"/>
        <name val="Calibri"/>
        <scheme val="none"/>
      </font>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2"/>
        <color theme="1"/>
        <name val="Calibri"/>
        <scheme val="none"/>
      </font>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2"/>
        <color theme="1"/>
        <name val="Calibri"/>
        <scheme val="none"/>
      </font>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2"/>
        <color theme="1"/>
        <name val="Calibri"/>
        <scheme val="none"/>
      </font>
      <border diagonalUp="0" diagonalDown="0">
        <left style="thin">
          <color indexed="64"/>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2"/>
        <color theme="1"/>
        <name val="Calibri"/>
        <scheme val="none"/>
      </font>
      <border diagonalUp="0" diagonalDown="0">
        <left style="thin">
          <color indexed="64"/>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2"/>
        <color theme="1"/>
        <name val="Calibri"/>
        <scheme val="none"/>
      </font>
      <border diagonalUp="0" diagonalDown="0">
        <left style="thin">
          <color indexed="64"/>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2"/>
        <color theme="1"/>
        <name val="Calibri"/>
        <scheme val="none"/>
      </font>
      <border diagonalUp="0" diagonalDown="0">
        <left style="thin">
          <color indexed="64"/>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2"/>
        <color theme="1"/>
        <name val="Calibri"/>
        <scheme val="none"/>
      </font>
      <alignment horizontal="center" vertical="bottom" textRotation="0" wrapText="0" indent="0" justifyLastLine="0" shrinkToFit="0" readingOrder="0"/>
      <protection locked="1" hidden="0"/>
    </dxf>
    <dxf>
      <border outline="0">
        <right style="thin">
          <color indexed="64"/>
        </right>
        <top style="thin">
          <color indexed="64"/>
        </top>
      </border>
    </dxf>
    <dxf>
      <font>
        <b/>
        <i val="0"/>
        <strike val="0"/>
        <condense val="0"/>
        <extend val="0"/>
        <outline val="0"/>
        <shadow val="0"/>
        <u val="none"/>
        <vertAlign val="baseline"/>
        <sz val="12"/>
        <color theme="1"/>
        <name val="Calibri"/>
        <scheme val="none"/>
      </font>
      <alignment horizontal="center" vertical="bottom" textRotation="0" wrapText="0" indent="0" justifyLastLine="0" shrinkToFit="0" readingOrder="0"/>
      <protection locked="0" hidden="0"/>
    </dxf>
    <dxf>
      <border outline="0">
        <bottom style="thin">
          <color indexed="64"/>
        </bottom>
      </border>
    </dxf>
    <dxf>
      <font>
        <b/>
        <i val="0"/>
        <strike val="0"/>
        <condense val="0"/>
        <extend val="0"/>
        <outline val="0"/>
        <shadow val="0"/>
        <u val="none"/>
        <vertAlign val="baseline"/>
        <sz val="12"/>
        <color theme="0"/>
        <name val="Calibri"/>
        <scheme val="none"/>
      </font>
      <fill>
        <patternFill patternType="solid">
          <fgColor indexed="64"/>
          <bgColor theme="8" tint="-0.249977111117893"/>
        </patternFill>
      </fill>
      <alignment horizontal="center" vertical="bottom" textRotation="0" wrapText="0" indent="0" justifyLastLine="0" shrinkToFit="0" readingOrder="0"/>
      <border diagonalUp="0" diagonalDown="0" outline="0">
        <left style="thin">
          <color indexed="64"/>
        </left>
        <right style="thin">
          <color indexed="64"/>
        </right>
        <top/>
        <bottom/>
      </border>
      <protection locked="0" hidden="0"/>
    </dxf>
    <dxf>
      <font>
        <b/>
        <i val="0"/>
        <strike val="0"/>
        <condense val="0"/>
        <extend val="0"/>
        <outline val="0"/>
        <shadow val="0"/>
        <u val="none"/>
        <vertAlign val="baseline"/>
        <sz val="12"/>
        <color theme="1"/>
        <name val="Calibri"/>
        <scheme val="none"/>
      </font>
      <numFmt numFmtId="34" formatCode="_(&quot;$&quot;* #,##0.00_);_(&quot;$&quot;* \(#,##0.00\);_(&quot;$&quot;* &quot;-&quot;??_);_(@_)"/>
      <alignment horizontal="left" vertical="bottom" textRotation="0" wrapText="0" indent="0" justifyLastLine="0" shrinkToFit="0" readingOrder="0"/>
      <border diagonalUp="0" diagonalDown="0" outline="0">
        <left style="thin">
          <color indexed="64"/>
        </left>
        <right/>
        <top/>
        <bottom/>
      </border>
      <protection locked="0" hidden="0"/>
    </dxf>
    <dxf>
      <font>
        <b/>
        <i val="0"/>
        <strike val="0"/>
        <condense val="0"/>
        <extend val="0"/>
        <outline val="0"/>
        <shadow val="0"/>
        <u val="none"/>
        <vertAlign val="baseline"/>
        <sz val="12"/>
        <color theme="1"/>
        <name val="Calibri"/>
        <scheme val="none"/>
      </font>
      <alignment horizontal="left" vertical="bottom" textRotation="0" wrapText="0" indent="0" justifyLastLine="0" shrinkToFit="0" readingOrder="0"/>
      <border diagonalUp="0" diagonalDown="0">
        <left style="thin">
          <color indexed="64"/>
        </left>
        <right/>
        <top style="thin">
          <color indexed="64"/>
        </top>
        <bottom style="thin">
          <color indexed="64"/>
        </bottom>
        <vertical/>
        <horizontal/>
      </border>
      <protection locked="0" hidden="0"/>
    </dxf>
    <dxf>
      <font>
        <b/>
        <i val="0"/>
        <strike val="0"/>
        <condense val="0"/>
        <extend val="0"/>
        <outline val="0"/>
        <shadow val="0"/>
        <u val="none"/>
        <vertAlign val="baseline"/>
        <sz val="12"/>
        <color theme="1"/>
        <name val="Calibri"/>
        <scheme val="none"/>
      </font>
      <alignment horizontal="center" vertical="bottom" textRotation="0" wrapText="0" indent="0" justifyLastLine="0" shrinkToFit="0" readingOrder="0"/>
      <border diagonalUp="0" diagonalDown="0" outline="0">
        <left style="thin">
          <color indexed="64"/>
        </left>
        <right style="thin">
          <color indexed="64"/>
        </right>
        <top/>
        <bottom/>
      </border>
      <protection locked="0" hidden="0"/>
    </dxf>
    <dxf>
      <font>
        <b/>
        <i val="0"/>
        <strike val="0"/>
        <condense val="0"/>
        <extend val="0"/>
        <outline val="0"/>
        <shadow val="0"/>
        <u val="none"/>
        <vertAlign val="baseline"/>
        <sz val="12"/>
        <color theme="1"/>
        <name val="Calibri"/>
        <scheme val="none"/>
      </font>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2"/>
        <color theme="1"/>
        <name val="Calibri"/>
        <scheme val="none"/>
      </font>
      <alignment horizontal="left" vertical="bottom" textRotation="0" wrapText="0" indent="0" justifyLastLine="0" shrinkToFit="0" readingOrder="0"/>
      <border diagonalUp="0" diagonalDown="0" outline="0">
        <left style="thin">
          <color indexed="64"/>
        </left>
        <right style="thin">
          <color indexed="64"/>
        </right>
        <top/>
        <bottom/>
      </border>
      <protection locked="0" hidden="0"/>
    </dxf>
    <dxf>
      <font>
        <b/>
        <i val="0"/>
        <strike val="0"/>
        <condense val="0"/>
        <extend val="0"/>
        <outline val="0"/>
        <shadow val="0"/>
        <u val="none"/>
        <vertAlign val="baseline"/>
        <sz val="12"/>
        <color theme="1"/>
        <name val="Calibri"/>
        <scheme val="none"/>
      </font>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2"/>
        <color theme="1"/>
        <name val="Calibri"/>
        <scheme val="none"/>
      </font>
      <alignment horizontal="center" vertical="bottom" textRotation="0" wrapText="0" indent="0" justifyLastLine="0" shrinkToFit="0" readingOrder="0"/>
      <border diagonalUp="0" diagonalDown="0" outline="0">
        <left style="thin">
          <color indexed="64"/>
        </left>
        <right style="thin">
          <color indexed="64"/>
        </right>
        <top/>
        <bottom/>
      </border>
      <protection locked="0" hidden="0"/>
    </dxf>
    <dxf>
      <font>
        <b/>
        <i val="0"/>
        <strike val="0"/>
        <condense val="0"/>
        <extend val="0"/>
        <outline val="0"/>
        <shadow val="0"/>
        <u val="none"/>
        <vertAlign val="baseline"/>
        <sz val="12"/>
        <color theme="1"/>
        <name val="Calibri"/>
        <scheme val="none"/>
      </font>
      <numFmt numFmtId="164" formatCode="000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2"/>
        <color theme="1"/>
        <name val="Calibri"/>
        <scheme val="none"/>
      </font>
      <alignment horizontal="center" vertical="bottom" textRotation="0" wrapText="0" indent="0" justifyLastLine="0" shrinkToFit="0" readingOrder="0"/>
      <border diagonalUp="0" diagonalDown="0" outline="0">
        <left style="thin">
          <color indexed="64"/>
        </left>
        <right style="thin">
          <color indexed="64"/>
        </right>
        <top/>
        <bottom/>
      </border>
      <protection locked="0" hidden="0"/>
    </dxf>
    <dxf>
      <font>
        <b/>
        <i val="0"/>
        <strike val="0"/>
        <condense val="0"/>
        <extend val="0"/>
        <outline val="0"/>
        <shadow val="0"/>
        <u val="none"/>
        <vertAlign val="baseline"/>
        <sz val="12"/>
        <color theme="1"/>
        <name val="Calibri"/>
        <scheme val="none"/>
      </font>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2"/>
        <color theme="1"/>
        <name val="Calibri"/>
        <scheme val="none"/>
      </font>
      <border diagonalUp="0" diagonalDown="0" outline="0">
        <left style="thin">
          <color indexed="64"/>
        </left>
        <right style="thin">
          <color indexed="64"/>
        </right>
        <top/>
        <bottom/>
      </border>
      <protection locked="0" hidden="0"/>
    </dxf>
    <dxf>
      <font>
        <b/>
        <i val="0"/>
        <strike val="0"/>
        <condense val="0"/>
        <extend val="0"/>
        <outline val="0"/>
        <shadow val="0"/>
        <u val="none"/>
        <vertAlign val="baseline"/>
        <sz val="12"/>
        <color theme="1"/>
        <name val="Calibri"/>
        <scheme val="none"/>
      </font>
      <border diagonalUp="0" diagonalDown="0">
        <left style="thin">
          <color indexed="64"/>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2"/>
        <color theme="1"/>
        <name val="Calibri"/>
        <scheme val="none"/>
      </font>
      <border diagonalUp="0" diagonalDown="0" outline="0">
        <left style="thin">
          <color indexed="64"/>
        </left>
        <right style="thin">
          <color indexed="64"/>
        </right>
        <top/>
        <bottom/>
      </border>
      <protection locked="0" hidden="0"/>
    </dxf>
    <dxf>
      <font>
        <b/>
        <i val="0"/>
        <strike val="0"/>
        <condense val="0"/>
        <extend val="0"/>
        <outline val="0"/>
        <shadow val="0"/>
        <u val="none"/>
        <vertAlign val="baseline"/>
        <sz val="12"/>
        <color theme="1"/>
        <name val="Calibri"/>
        <scheme val="none"/>
      </font>
      <border diagonalUp="0" diagonalDown="0">
        <left style="thin">
          <color indexed="64"/>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2"/>
        <color theme="1"/>
        <name val="Calibri"/>
        <scheme val="none"/>
      </font>
      <border diagonalUp="0" diagonalDown="0" outline="0">
        <left style="thin">
          <color indexed="64"/>
        </left>
        <right style="thin">
          <color indexed="64"/>
        </right>
        <top/>
        <bottom/>
      </border>
      <protection locked="0" hidden="0"/>
    </dxf>
    <dxf>
      <font>
        <b/>
        <i val="0"/>
        <strike val="0"/>
        <condense val="0"/>
        <extend val="0"/>
        <outline val="0"/>
        <shadow val="0"/>
        <u val="none"/>
        <vertAlign val="baseline"/>
        <sz val="12"/>
        <color theme="1"/>
        <name val="Calibri"/>
        <scheme val="none"/>
      </font>
      <border diagonalUp="0" diagonalDown="0">
        <left style="thin">
          <color indexed="64"/>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2"/>
        <color theme="1"/>
        <name val="Calibri"/>
        <scheme val="none"/>
      </font>
      <border diagonalUp="0" diagonalDown="0" outline="0">
        <left style="thin">
          <color indexed="64"/>
        </left>
        <right style="thin">
          <color indexed="64"/>
        </right>
        <top/>
        <bottom/>
      </border>
      <protection locked="0" hidden="0"/>
    </dxf>
    <dxf>
      <font>
        <b/>
        <i val="0"/>
        <strike val="0"/>
        <condense val="0"/>
        <extend val="0"/>
        <outline val="0"/>
        <shadow val="0"/>
        <u val="none"/>
        <vertAlign val="baseline"/>
        <sz val="12"/>
        <color theme="1"/>
        <name val="Calibri"/>
        <scheme val="none"/>
      </font>
      <border diagonalUp="0" diagonalDown="0">
        <left style="thin">
          <color indexed="64"/>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2"/>
        <color theme="1"/>
        <name val="Calibri"/>
        <scheme val="none"/>
      </font>
      <alignment horizontal="center" vertical="bottom" textRotation="0" wrapText="0" indent="0" justifyLastLine="0" shrinkToFit="0" readingOrder="0"/>
      <protection locked="1" hidden="0"/>
    </dxf>
    <dxf>
      <font>
        <b/>
        <i val="0"/>
        <strike val="0"/>
        <condense val="0"/>
        <extend val="0"/>
        <outline val="0"/>
        <shadow val="0"/>
        <u val="none"/>
        <vertAlign val="baseline"/>
        <sz val="12"/>
        <color theme="1"/>
        <name val="Calibri"/>
        <scheme val="none"/>
      </font>
      <alignment horizontal="center" vertical="bottom" textRotation="0" wrapText="0" indent="0" justifyLastLine="0" shrinkToFit="0" readingOrder="0"/>
      <protection locked="1" hidden="0"/>
    </dxf>
    <dxf>
      <border outline="0">
        <right style="thin">
          <color indexed="64"/>
        </right>
        <top style="thin">
          <color indexed="64"/>
        </top>
      </border>
    </dxf>
    <dxf>
      <font>
        <b/>
        <i val="0"/>
        <strike val="0"/>
        <condense val="0"/>
        <extend val="0"/>
        <outline val="0"/>
        <shadow val="0"/>
        <u val="none"/>
        <vertAlign val="baseline"/>
        <sz val="12"/>
        <color theme="1"/>
        <name val="Calibri"/>
        <scheme val="none"/>
      </font>
      <alignment horizontal="center" vertical="bottom" textRotation="0" wrapText="0" indent="0" justifyLastLine="0" shrinkToFit="0" readingOrder="0"/>
      <protection locked="0" hidden="0"/>
    </dxf>
    <dxf>
      <border outline="0">
        <bottom style="thin">
          <color indexed="64"/>
        </bottom>
      </border>
    </dxf>
    <dxf>
      <font>
        <b/>
        <i val="0"/>
        <strike val="0"/>
        <condense val="0"/>
        <extend val="0"/>
        <outline val="0"/>
        <shadow val="0"/>
        <u val="none"/>
        <vertAlign val="baseline"/>
        <sz val="12"/>
        <color theme="0"/>
        <name val="Calibri"/>
        <scheme val="none"/>
      </font>
      <fill>
        <patternFill patternType="solid">
          <fgColor indexed="64"/>
          <bgColor theme="8" tint="-0.249977111117893"/>
        </patternFill>
      </fill>
      <alignment horizontal="center" vertical="bottom" textRotation="0" wrapText="0" indent="0" justifyLastLine="0" shrinkToFit="0" readingOrder="0"/>
      <border diagonalUp="0" diagonalDown="0" outline="0">
        <left style="thin">
          <color indexed="64"/>
        </left>
        <right style="thin">
          <color indexed="64"/>
        </right>
        <top/>
        <bottom/>
      </border>
      <protection locked="0"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externalLink" Target="externalLinks/externalLink2.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pivotCacheDefinition" Target="pivotCache/pivotCacheDefinition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71"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hyperlink" Target="#Summary!A1"/></Relationships>
</file>

<file path=xl/drawings/_rels/drawing2.xml.rels><?xml version="1.0" encoding="UTF-8" standalone="yes"?>
<Relationships xmlns="http://schemas.openxmlformats.org/package/2006/relationships"><Relationship Id="rId1" Type="http://schemas.openxmlformats.org/officeDocument/2006/relationships/hyperlink" Target="#Summary!A1"/></Relationships>
</file>

<file path=xl/drawings/_rels/drawing3.xml.rels><?xml version="1.0" encoding="UTF-8" standalone="yes"?>
<Relationships xmlns="http://schemas.openxmlformats.org/package/2006/relationships"><Relationship Id="rId1" Type="http://schemas.openxmlformats.org/officeDocument/2006/relationships/hyperlink" Target="#Summary!A1"/></Relationships>
</file>

<file path=xl/drawings/_rels/drawing4.xml.rels><?xml version="1.0" encoding="UTF-8" standalone="yes"?>
<Relationships xmlns="http://schemas.openxmlformats.org/package/2006/relationships"><Relationship Id="rId1" Type="http://schemas.openxmlformats.org/officeDocument/2006/relationships/hyperlink" Target="#Summary!A1"/></Relationships>
</file>

<file path=xl/drawings/_rels/drawing5.xml.rels><?xml version="1.0" encoding="UTF-8" standalone="yes"?>
<Relationships xmlns="http://schemas.openxmlformats.org/package/2006/relationships"><Relationship Id="rId1" Type="http://schemas.openxmlformats.org/officeDocument/2006/relationships/hyperlink" Target="#Summary!A1"/></Relationships>
</file>

<file path=xl/drawings/_rels/drawing6.xml.rels><?xml version="1.0" encoding="UTF-8" standalone="yes"?>
<Relationships xmlns="http://schemas.openxmlformats.org/package/2006/relationships"><Relationship Id="rId1" Type="http://schemas.openxmlformats.org/officeDocument/2006/relationships/hyperlink" Target="#Summary!A1"/></Relationships>
</file>

<file path=xl/drawings/_rels/drawing7.xml.rels><?xml version="1.0" encoding="UTF-8" standalone="yes"?>
<Relationships xmlns="http://schemas.openxmlformats.org/package/2006/relationships"><Relationship Id="rId1" Type="http://schemas.openxmlformats.org/officeDocument/2006/relationships/hyperlink" Target="#Summary!A1"/></Relationships>
</file>

<file path=xl/drawings/_rels/drawing8.xml.rels><?xml version="1.0" encoding="UTF-8" standalone="yes"?>
<Relationships xmlns="http://schemas.openxmlformats.org/package/2006/relationships"><Relationship Id="rId1" Type="http://schemas.openxmlformats.org/officeDocument/2006/relationships/hyperlink" Target="#Summary!A1"/></Relationships>
</file>

<file path=xl/drawings/_rels/drawing9.xml.rels><?xml version="1.0" encoding="UTF-8" standalone="yes"?>
<Relationships xmlns="http://schemas.openxmlformats.org/package/2006/relationships"><Relationship Id="rId1" Type="http://schemas.openxmlformats.org/officeDocument/2006/relationships/hyperlink" Target="#Summary!A1"/></Relationships>
</file>

<file path=xl/drawings/_rels/drawing10.xml.rels><?xml version="1.0" encoding="UTF-8" standalone="yes"?>
<Relationships xmlns="http://schemas.openxmlformats.org/package/2006/relationships"><Relationship Id="rId1" Type="http://schemas.openxmlformats.org/officeDocument/2006/relationships/hyperlink" Target="#Summary!A1"/></Relationships>
</file>

<file path=xl/drawings/_rels/drawing11.xml.rels><?xml version="1.0" encoding="UTF-8" standalone="yes"?>
<Relationships xmlns="http://schemas.openxmlformats.org/package/2006/relationships"><Relationship Id="rId1" Type="http://schemas.openxmlformats.org/officeDocument/2006/relationships/hyperlink" Target="#Summary!A1"/></Relationships>
</file>

<file path=xl/drawings/_rels/drawing12.xml.rels><?xml version="1.0" encoding="UTF-8" standalone="yes"?>
<Relationships xmlns="http://schemas.openxmlformats.org/package/2006/relationships"><Relationship Id="rId1" Type="http://schemas.openxmlformats.org/officeDocument/2006/relationships/hyperlink" Target="#Summary!A1"/></Relationships>
</file>

<file path=xl/drawings/_rels/drawing13.xml.rels><?xml version="1.0" encoding="UTF-8" standalone="yes"?>
<Relationships xmlns="http://schemas.openxmlformats.org/package/2006/relationships"><Relationship Id="rId1" Type="http://schemas.openxmlformats.org/officeDocument/2006/relationships/hyperlink" Target="#Summary!A1"/></Relationships>
</file>

<file path=xl/drawings/_rels/drawing14.xml.rels><?xml version="1.0" encoding="UTF-8" standalone="yes"?>
<Relationships xmlns="http://schemas.openxmlformats.org/package/2006/relationships"><Relationship Id="rId1" Type="http://schemas.openxmlformats.org/officeDocument/2006/relationships/hyperlink" Target="#Summary!A1"/></Relationships>
</file>

<file path=xl/drawings/_rels/drawing15.xml.rels><?xml version="1.0" encoding="UTF-8" standalone="yes"?>
<Relationships xmlns="http://schemas.openxmlformats.org/package/2006/relationships"><Relationship Id="rId1" Type="http://schemas.openxmlformats.org/officeDocument/2006/relationships/hyperlink" Target="#Summary!A1"/></Relationships>
</file>

<file path=xl/drawings/_rels/drawing16.xml.rels><?xml version="1.0" encoding="UTF-8" standalone="yes"?>
<Relationships xmlns="http://schemas.openxmlformats.org/package/2006/relationships"><Relationship Id="rId1" Type="http://schemas.openxmlformats.org/officeDocument/2006/relationships/hyperlink" Target="#Summary!A1"/></Relationships>
</file>

<file path=xl/drawings/_rels/drawing17.xml.rels><?xml version="1.0" encoding="UTF-8" standalone="yes"?>
<Relationships xmlns="http://schemas.openxmlformats.org/package/2006/relationships"><Relationship Id="rId1" Type="http://schemas.openxmlformats.org/officeDocument/2006/relationships/hyperlink" Target="#Summary!A1"/></Relationships>
</file>

<file path=xl/drawings/_rels/drawing18.xml.rels><?xml version="1.0" encoding="UTF-8" standalone="yes"?>
<Relationships xmlns="http://schemas.openxmlformats.org/package/2006/relationships"><Relationship Id="rId1" Type="http://schemas.openxmlformats.org/officeDocument/2006/relationships/hyperlink" Target="#Summary!A1"/></Relationships>
</file>

<file path=xl/drawings/_rels/drawing19.xml.rels><?xml version="1.0" encoding="UTF-8" standalone="yes"?>
<Relationships xmlns="http://schemas.openxmlformats.org/package/2006/relationships"><Relationship Id="rId1" Type="http://schemas.openxmlformats.org/officeDocument/2006/relationships/hyperlink" Target="#Summary!A1"/></Relationships>
</file>

<file path=xl/drawings/_rels/drawing20.xml.rels><?xml version="1.0" encoding="UTF-8" standalone="yes"?>
<Relationships xmlns="http://schemas.openxmlformats.org/package/2006/relationships"><Relationship Id="rId1" Type="http://schemas.openxmlformats.org/officeDocument/2006/relationships/hyperlink" Target="#Summary!A1"/></Relationships>
</file>

<file path=xl/drawings/_rels/drawing21.xml.rels><?xml version="1.0" encoding="UTF-8" standalone="yes"?>
<Relationships xmlns="http://schemas.openxmlformats.org/package/2006/relationships"><Relationship Id="rId1" Type="http://schemas.openxmlformats.org/officeDocument/2006/relationships/hyperlink" Target="#Summary!A1"/></Relationships>
</file>

<file path=xl/drawings/_rels/drawing22.xml.rels><?xml version="1.0" encoding="UTF-8" standalone="yes"?>
<Relationships xmlns="http://schemas.openxmlformats.org/package/2006/relationships"><Relationship Id="rId1" Type="http://schemas.openxmlformats.org/officeDocument/2006/relationships/hyperlink" Target="#Summary!A1"/></Relationships>
</file>

<file path=xl/drawings/_rels/drawing23.xml.rels><?xml version="1.0" encoding="UTF-8" standalone="yes"?>
<Relationships xmlns="http://schemas.openxmlformats.org/package/2006/relationships"><Relationship Id="rId1" Type="http://schemas.openxmlformats.org/officeDocument/2006/relationships/hyperlink" Target="#Summary!A1"/></Relationships>
</file>

<file path=xl/drawings/_rels/drawing24.xml.rels><?xml version="1.0" encoding="UTF-8" standalone="yes"?>
<Relationships xmlns="http://schemas.openxmlformats.org/package/2006/relationships"><Relationship Id="rId1" Type="http://schemas.openxmlformats.org/officeDocument/2006/relationships/hyperlink" Target="#Summary!A1"/></Relationships>
</file>

<file path=xl/drawings/_rels/drawing25.xml.rels><?xml version="1.0" encoding="UTF-8" standalone="yes"?>
<Relationships xmlns="http://schemas.openxmlformats.org/package/2006/relationships"><Relationship Id="rId1" Type="http://schemas.openxmlformats.org/officeDocument/2006/relationships/hyperlink" Target="#Summary!A1"/></Relationships>
</file>

<file path=xl/drawings/_rels/drawing26.xml.rels><?xml version="1.0" encoding="UTF-8" standalone="yes"?>
<Relationships xmlns="http://schemas.openxmlformats.org/package/2006/relationships"><Relationship Id="rId1" Type="http://schemas.openxmlformats.org/officeDocument/2006/relationships/hyperlink" Target="#Summary!A1"/></Relationships>
</file>

<file path=xl/drawings/_rels/drawing27.xml.rels><?xml version="1.0" encoding="UTF-8" standalone="yes"?>
<Relationships xmlns="http://schemas.openxmlformats.org/package/2006/relationships"><Relationship Id="rId1" Type="http://schemas.openxmlformats.org/officeDocument/2006/relationships/hyperlink" Target="#Summary!A1"/></Relationships>
</file>

<file path=xl/drawings/_rels/drawing28.xml.rels><?xml version="1.0" encoding="UTF-8" standalone="yes"?>
<Relationships xmlns="http://schemas.openxmlformats.org/package/2006/relationships"><Relationship Id="rId1" Type="http://schemas.openxmlformats.org/officeDocument/2006/relationships/hyperlink" Target="#Summary!A1"/></Relationships>
</file>

<file path=xl/drawings/_rels/drawing29.xml.rels><?xml version="1.0" encoding="UTF-8" standalone="yes"?>
<Relationships xmlns="http://schemas.openxmlformats.org/package/2006/relationships"><Relationship Id="rId1" Type="http://schemas.openxmlformats.org/officeDocument/2006/relationships/hyperlink" Target="#Summary!A1"/></Relationships>
</file>

<file path=xl/drawings/_rels/drawing30.xml.rels><?xml version="1.0" encoding="UTF-8" standalone="yes"?>
<Relationships xmlns="http://schemas.openxmlformats.org/package/2006/relationships"><Relationship Id="rId1" Type="http://schemas.openxmlformats.org/officeDocument/2006/relationships/hyperlink" Target="#Summary!A1"/></Relationships>
</file>

<file path=xl/drawings/_rels/drawing31.xml.rels><?xml version="1.0" encoding="UTF-8" standalone="yes"?>
<Relationships xmlns="http://schemas.openxmlformats.org/package/2006/relationships"><Relationship Id="rId1" Type="http://schemas.openxmlformats.org/officeDocument/2006/relationships/hyperlink" Target="#Summary!A1"/></Relationships>
</file>

<file path=xl/drawings/_rels/drawing32.xml.rels><?xml version="1.0" encoding="UTF-8" standalone="yes"?>
<Relationships xmlns="http://schemas.openxmlformats.org/package/2006/relationships"><Relationship Id="rId1" Type="http://schemas.openxmlformats.org/officeDocument/2006/relationships/hyperlink" Target="#Summary!A1"/></Relationships>
</file>

<file path=xl/drawings/_rels/drawing33.xml.rels><?xml version="1.0" encoding="UTF-8" standalone="yes"?>
<Relationships xmlns="http://schemas.openxmlformats.org/package/2006/relationships"><Relationship Id="rId1" Type="http://schemas.openxmlformats.org/officeDocument/2006/relationships/hyperlink" Target="#Summary!A1"/></Relationships>
</file>

<file path=xl/drawings/_rels/drawing34.xml.rels><?xml version="1.0" encoding="UTF-8" standalone="yes"?>
<Relationships xmlns="http://schemas.openxmlformats.org/package/2006/relationships"><Relationship Id="rId1" Type="http://schemas.openxmlformats.org/officeDocument/2006/relationships/hyperlink" Target="#Summary!A1"/></Relationships>
</file>

<file path=xl/drawings/_rels/drawing35.xml.rels><?xml version="1.0" encoding="UTF-8" standalone="yes"?>
<Relationships xmlns="http://schemas.openxmlformats.org/package/2006/relationships"><Relationship Id="rId1" Type="http://schemas.openxmlformats.org/officeDocument/2006/relationships/hyperlink" Target="#Summary!A1"/></Relationships>
</file>

<file path=xl/drawings/_rels/drawing36.xml.rels><?xml version="1.0" encoding="UTF-8" standalone="yes"?>
<Relationships xmlns="http://schemas.openxmlformats.org/package/2006/relationships"><Relationship Id="rId1" Type="http://schemas.openxmlformats.org/officeDocument/2006/relationships/hyperlink" Target="#Summary!A1"/></Relationships>
</file>

<file path=xl/drawings/_rels/drawing37.xml.rels><?xml version="1.0" encoding="UTF-8" standalone="yes"?>
<Relationships xmlns="http://schemas.openxmlformats.org/package/2006/relationships"><Relationship Id="rId1" Type="http://schemas.openxmlformats.org/officeDocument/2006/relationships/hyperlink" Target="#Summary!A1"/></Relationships>
</file>

<file path=xl/drawings/_rels/drawing38.xml.rels><?xml version="1.0" encoding="UTF-8" standalone="yes"?>
<Relationships xmlns="http://schemas.openxmlformats.org/package/2006/relationships"><Relationship Id="rId1" Type="http://schemas.openxmlformats.org/officeDocument/2006/relationships/hyperlink" Target="#Summary!A1"/></Relationships>
</file>

<file path=xl/drawings/_rels/drawing39.xml.rels><?xml version="1.0" encoding="UTF-8" standalone="yes"?>
<Relationships xmlns="http://schemas.openxmlformats.org/package/2006/relationships"><Relationship Id="rId1" Type="http://schemas.openxmlformats.org/officeDocument/2006/relationships/hyperlink" Target="#Summary!A1"/></Relationships>
</file>

<file path=xl/drawings/_rels/drawing40.xml.rels><?xml version="1.0" encoding="UTF-8" standalone="yes"?>
<Relationships xmlns="http://schemas.openxmlformats.org/package/2006/relationships"><Relationship Id="rId1" Type="http://schemas.openxmlformats.org/officeDocument/2006/relationships/hyperlink" Target="#Summary!A1"/></Relationships>
</file>

<file path=xl/drawings/_rels/drawing41.xml.rels><?xml version="1.0" encoding="UTF-8" standalone="yes"?>
<Relationships xmlns="http://schemas.openxmlformats.org/package/2006/relationships"><Relationship Id="rId1" Type="http://schemas.openxmlformats.org/officeDocument/2006/relationships/hyperlink" Target="#Summary!A1"/></Relationships>
</file>

<file path=xl/drawings/_rels/drawing42.xml.rels><?xml version="1.0" encoding="UTF-8" standalone="yes"?>
<Relationships xmlns="http://schemas.openxmlformats.org/package/2006/relationships"><Relationship Id="rId1" Type="http://schemas.openxmlformats.org/officeDocument/2006/relationships/hyperlink" Target="#Summary!A1"/></Relationships>
</file>

<file path=xl/drawings/_rels/drawing43.xml.rels><?xml version="1.0" encoding="UTF-8" standalone="yes"?>
<Relationships xmlns="http://schemas.openxmlformats.org/package/2006/relationships"><Relationship Id="rId1" Type="http://schemas.openxmlformats.org/officeDocument/2006/relationships/hyperlink" Target="#Summary!A1"/></Relationships>
</file>

<file path=xl/drawings/_rels/drawing44.xml.rels><?xml version="1.0" encoding="UTF-8" standalone="yes"?>
<Relationships xmlns="http://schemas.openxmlformats.org/package/2006/relationships"><Relationship Id="rId1" Type="http://schemas.openxmlformats.org/officeDocument/2006/relationships/hyperlink" Target="#Summary!A1"/></Relationships>
</file>

<file path=xl/drawings/_rels/drawing45.xml.rels><?xml version="1.0" encoding="UTF-8" standalone="yes"?>
<Relationships xmlns="http://schemas.openxmlformats.org/package/2006/relationships"><Relationship Id="rId1" Type="http://schemas.openxmlformats.org/officeDocument/2006/relationships/hyperlink" Target="#Summary!A1"/></Relationships>
</file>

<file path=xl/drawings/_rels/drawing46.xml.rels><?xml version="1.0" encoding="UTF-8" standalone="yes"?>
<Relationships xmlns="http://schemas.openxmlformats.org/package/2006/relationships"><Relationship Id="rId1" Type="http://schemas.openxmlformats.org/officeDocument/2006/relationships/hyperlink" Target="#Summary!A1"/></Relationships>
</file>

<file path=xl/drawings/_rels/drawing47.xml.rels><?xml version="1.0" encoding="UTF-8" standalone="yes"?>
<Relationships xmlns="http://schemas.openxmlformats.org/package/2006/relationships"><Relationship Id="rId1" Type="http://schemas.openxmlformats.org/officeDocument/2006/relationships/hyperlink" Target="#Summary!A1"/></Relationships>
</file>

<file path=xl/drawings/_rels/drawing48.xml.rels><?xml version="1.0" encoding="UTF-8" standalone="yes"?>
<Relationships xmlns="http://schemas.openxmlformats.org/package/2006/relationships"><Relationship Id="rId1" Type="http://schemas.openxmlformats.org/officeDocument/2006/relationships/hyperlink" Target="#Summary!A1"/></Relationships>
</file>

<file path=xl/drawings/_rels/drawing49.xml.rels><?xml version="1.0" encoding="UTF-8" standalone="yes"?>
<Relationships xmlns="http://schemas.openxmlformats.org/package/2006/relationships"><Relationship Id="rId1" Type="http://schemas.openxmlformats.org/officeDocument/2006/relationships/hyperlink" Target="#Summary!A1"/></Relationships>
</file>

<file path=xl/drawings/_rels/drawing50.xml.rels><?xml version="1.0" encoding="UTF-8" standalone="yes"?>
<Relationships xmlns="http://schemas.openxmlformats.org/package/2006/relationships"><Relationship Id="rId1" Type="http://schemas.openxmlformats.org/officeDocument/2006/relationships/hyperlink" Target="#Summary!A1"/></Relationships>
</file>

<file path=xl/drawings/_rels/drawing52.xml.rels><?xml version="1.0" encoding="UTF-8" standalone="yes"?>
<Relationships xmlns="http://schemas.openxmlformats.org/package/2006/relationships"><Relationship Id="rId2" Type="http://schemas.openxmlformats.org/officeDocument/2006/relationships/hyperlink" Target="#Summary!A1"/><Relationship Id="rId1" Type="http://schemas.openxmlformats.org/officeDocument/2006/relationships/image" Target="../media/image1.png"/></Relationships>
</file>

<file path=xl/drawings/_rels/drawing53.xml.rels><?xml version="1.0" encoding="UTF-8" standalone="yes"?>
<Relationships xmlns="http://schemas.openxmlformats.org/package/2006/relationships"><Relationship Id="rId1" Type="http://schemas.openxmlformats.org/officeDocument/2006/relationships/hyperlink" Target="#Summary!A1"/></Relationships>
</file>

<file path=xl/drawings/_rels/drawing54.xml.rels><?xml version="1.0" encoding="UTF-8" standalone="yes"?>
<Relationships xmlns="http://schemas.openxmlformats.org/package/2006/relationships"><Relationship Id="rId1" Type="http://schemas.openxmlformats.org/officeDocument/2006/relationships/hyperlink" Target="#Summary!A1"/></Relationships>
</file>

<file path=xl/drawings/_rels/drawing55.xml.rels><?xml version="1.0" encoding="UTF-8" standalone="yes"?>
<Relationships xmlns="http://schemas.openxmlformats.org/package/2006/relationships"><Relationship Id="rId1" Type="http://schemas.openxmlformats.org/officeDocument/2006/relationships/hyperlink" Target="#Summary!A1"/></Relationships>
</file>

<file path=xl/drawings/_rels/drawing56.xml.rels><?xml version="1.0" encoding="UTF-8" standalone="yes"?>
<Relationships xmlns="http://schemas.openxmlformats.org/package/2006/relationships"><Relationship Id="rId1" Type="http://schemas.openxmlformats.org/officeDocument/2006/relationships/hyperlink" Target="#Summary!A1"/></Relationships>
</file>

<file path=xl/drawings/_rels/drawing57.xml.rels><?xml version="1.0" encoding="UTF-8" standalone="yes"?>
<Relationships xmlns="http://schemas.openxmlformats.org/package/2006/relationships"><Relationship Id="rId1" Type="http://schemas.openxmlformats.org/officeDocument/2006/relationships/hyperlink" Target="#Summary!A1"/></Relationships>
</file>

<file path=xl/drawings/_rels/drawing58.xml.rels><?xml version="1.0" encoding="UTF-8" standalone="yes"?>
<Relationships xmlns="http://schemas.openxmlformats.org/package/2006/relationships"><Relationship Id="rId1" Type="http://schemas.openxmlformats.org/officeDocument/2006/relationships/hyperlink" Target="#Summary!A1"/></Relationships>
</file>

<file path=xl/drawings/_rels/drawing59.xml.rels><?xml version="1.0" encoding="UTF-8" standalone="yes"?>
<Relationships xmlns="http://schemas.openxmlformats.org/package/2006/relationships"><Relationship Id="rId1" Type="http://schemas.openxmlformats.org/officeDocument/2006/relationships/hyperlink" Target="#Summary!A1"/></Relationships>
</file>

<file path=xl/drawings/_rels/drawing60.xml.rels><?xml version="1.0" encoding="UTF-8" standalone="yes"?>
<Relationships xmlns="http://schemas.openxmlformats.org/package/2006/relationships"><Relationship Id="rId1" Type="http://schemas.openxmlformats.org/officeDocument/2006/relationships/hyperlink" Target="#Summary!A1"/></Relationships>
</file>

<file path=xl/drawings/_rels/drawing61.xml.rels><?xml version="1.0" encoding="UTF-8" standalone="yes"?>
<Relationships xmlns="http://schemas.openxmlformats.org/package/2006/relationships"><Relationship Id="rId1" Type="http://schemas.openxmlformats.org/officeDocument/2006/relationships/hyperlink" Target="#Summary!A1"/></Relationships>
</file>

<file path=xl/drawings/_rels/drawing62.xml.rels><?xml version="1.0" encoding="UTF-8" standalone="yes"?>
<Relationships xmlns="http://schemas.openxmlformats.org/package/2006/relationships"><Relationship Id="rId1" Type="http://schemas.openxmlformats.org/officeDocument/2006/relationships/hyperlink" Target="#Summary!A1"/></Relationships>
</file>

<file path=xl/drawings/_rels/drawing63.xml.rels><?xml version="1.0" encoding="UTF-8" standalone="yes"?>
<Relationships xmlns="http://schemas.openxmlformats.org/package/2006/relationships"><Relationship Id="rId1" Type="http://schemas.openxmlformats.org/officeDocument/2006/relationships/hyperlink" Target="#Summary!A1"/></Relationships>
</file>

<file path=xl/drawings/_rels/drawing64.xml.rels><?xml version="1.0" encoding="UTF-8" standalone="yes"?>
<Relationships xmlns="http://schemas.openxmlformats.org/package/2006/relationships"><Relationship Id="rId1" Type="http://schemas.openxmlformats.org/officeDocument/2006/relationships/hyperlink" Target="#Summary!A1"/></Relationships>
</file>

<file path=xl/drawings/_rels/drawing65.xml.rels><?xml version="1.0" encoding="UTF-8" standalone="yes"?>
<Relationships xmlns="http://schemas.openxmlformats.org/package/2006/relationships"><Relationship Id="rId1" Type="http://schemas.openxmlformats.org/officeDocument/2006/relationships/hyperlink" Target="#Summary!A1"/></Relationships>
</file>

<file path=xl/drawings/_rels/drawing66.xml.rels><?xml version="1.0" encoding="UTF-8" standalone="yes"?>
<Relationships xmlns="http://schemas.openxmlformats.org/package/2006/relationships"><Relationship Id="rId1" Type="http://schemas.openxmlformats.org/officeDocument/2006/relationships/hyperlink" Target="#Summary!A1"/></Relationships>
</file>

<file path=xl/drawings/drawing1.xml><?xml version="1.0" encoding="utf-8"?>
<xdr:wsDr xmlns:xdr="http://schemas.openxmlformats.org/drawingml/2006/spreadsheetDrawing" xmlns:a="http://schemas.openxmlformats.org/drawingml/2006/main">
  <xdr:twoCellAnchor>
    <xdr:from>
      <xdr:col>10</xdr:col>
      <xdr:colOff>276226</xdr:colOff>
      <xdr:row>17</xdr:row>
      <xdr:rowOff>161925</xdr:rowOff>
    </xdr:from>
    <xdr:to>
      <xdr:col>30</xdr:col>
      <xdr:colOff>257177</xdr:colOff>
      <xdr:row>26</xdr:row>
      <xdr:rowOff>161925</xdr:rowOff>
    </xdr:to>
    <xdr:sp macro="" textlink="">
      <xdr:nvSpPr>
        <xdr:cNvPr id="2" name="TextBox 1"/>
        <xdr:cNvSpPr txBox="1"/>
      </xdr:nvSpPr>
      <xdr:spPr>
        <a:xfrm>
          <a:off x="8077201" y="3581400"/>
          <a:ext cx="5514976" cy="1800225"/>
        </a:xfrm>
        <a:prstGeom prst="rect">
          <a:avLst/>
        </a:prstGeom>
        <a:ln>
          <a:solidFill>
            <a:sysClr val="windowText" lastClr="000000"/>
          </a:solidFill>
        </a:ln>
      </xdr:spPr>
      <xdr:style>
        <a:lnRef idx="0">
          <a:schemeClr val="accent1"/>
        </a:lnRef>
        <a:fillRef idx="3">
          <a:schemeClr val="accent1"/>
        </a:fillRef>
        <a:effectRef idx="3">
          <a:schemeClr val="accent1"/>
        </a:effectRef>
        <a:fontRef idx="minor">
          <a:schemeClr val="lt1"/>
        </a:fontRef>
      </xdr:style>
      <xdr:txBody>
        <a:bodyPr vertOverflow="clip" horzOverflow="clip" wrap="square" rtlCol="0" anchor="ctr"/>
        <a:lstStyle/>
        <a:p>
          <a:pPr algn="ctr"/>
          <a:r>
            <a:rPr lang="en-US" sz="2400" b="1">
              <a:solidFill>
                <a:schemeClr val="tx1"/>
              </a:solidFill>
            </a:rPr>
            <a:t>Instructions</a:t>
          </a:r>
        </a:p>
        <a:p>
          <a:pPr algn="ctr"/>
          <a:r>
            <a:rPr lang="en-US" sz="1400" b="0">
              <a:solidFill>
                <a:schemeClr val="tx1"/>
              </a:solidFill>
            </a:rPr>
            <a:t>To use this template, simply enter name, address and other information into the grid area in columns B through C.</a:t>
          </a:r>
        </a:p>
        <a:p>
          <a:pPr algn="ctr"/>
          <a:endParaRPr lang="en-US" sz="1400" b="0">
            <a:solidFill>
              <a:schemeClr val="tx1"/>
            </a:solidFill>
          </a:endParaRPr>
        </a:p>
        <a:p>
          <a:pPr algn="ctr"/>
          <a:r>
            <a:rPr lang="en-US" sz="1400" b="0">
              <a:solidFill>
                <a:schemeClr val="tx1"/>
              </a:solidFill>
            </a:rPr>
            <a:t>To</a:t>
          </a:r>
          <a:r>
            <a:rPr lang="en-US" sz="1400" b="0" baseline="0">
              <a:solidFill>
                <a:schemeClr val="tx1"/>
              </a:solidFill>
            </a:rPr>
            <a:t> preserve the hidden formulas, I have protected this worksheet. To unprotect it, from the </a:t>
          </a:r>
          <a:r>
            <a:rPr lang="en-US" sz="1400" b="1" baseline="0">
              <a:solidFill>
                <a:schemeClr val="tx1"/>
              </a:solidFill>
            </a:rPr>
            <a:t>Review </a:t>
          </a:r>
          <a:r>
            <a:rPr lang="en-US" sz="1400" b="0" baseline="0">
              <a:solidFill>
                <a:schemeClr val="tx1"/>
              </a:solidFill>
            </a:rPr>
            <a:t>tab select </a:t>
          </a:r>
          <a:r>
            <a:rPr lang="en-US" sz="1400" b="1" baseline="0">
              <a:solidFill>
                <a:schemeClr val="tx1"/>
              </a:solidFill>
            </a:rPr>
            <a:t>Unprotect sheet </a:t>
          </a:r>
          <a:r>
            <a:rPr lang="en-US" sz="1400" b="0" baseline="0">
              <a:solidFill>
                <a:schemeClr val="tx1"/>
              </a:solidFill>
            </a:rPr>
            <a:t>from the </a:t>
          </a:r>
          <a:r>
            <a:rPr lang="en-US" sz="1400" b="1" baseline="0">
              <a:solidFill>
                <a:schemeClr val="tx1"/>
              </a:solidFill>
            </a:rPr>
            <a:t>Changes </a:t>
          </a:r>
          <a:r>
            <a:rPr lang="en-US" sz="1400" b="0" baseline="0">
              <a:solidFill>
                <a:schemeClr val="tx1"/>
              </a:solidFill>
            </a:rPr>
            <a:t>group.</a:t>
          </a:r>
          <a:endParaRPr lang="en-US" sz="1400" b="0">
            <a:solidFill>
              <a:schemeClr val="tx1"/>
            </a:solidFill>
          </a:endParaRPr>
        </a:p>
        <a:p>
          <a:endParaRPr lang="en-US" sz="1100"/>
        </a:p>
      </xdr:txBody>
    </xdr:sp>
    <xdr:clientData/>
  </xdr:twoCellAnchor>
  <xdr:twoCellAnchor>
    <xdr:from>
      <xdr:col>12</xdr:col>
      <xdr:colOff>180975</xdr:colOff>
      <xdr:row>0</xdr:row>
      <xdr:rowOff>76200</xdr:rowOff>
    </xdr:from>
    <xdr:to>
      <xdr:col>20</xdr:col>
      <xdr:colOff>219075</xdr:colOff>
      <xdr:row>1</xdr:row>
      <xdr:rowOff>133350</xdr:rowOff>
    </xdr:to>
    <xdr:sp macro="" textlink="">
      <xdr:nvSpPr>
        <xdr:cNvPr id="3" name="TextBox 2">
          <a:hlinkClick xmlns:r="http://schemas.openxmlformats.org/officeDocument/2006/relationships" r:id="rId1"/>
        </xdr:cNvPr>
        <xdr:cNvSpPr txBox="1"/>
      </xdr:nvSpPr>
      <xdr:spPr>
        <a:xfrm>
          <a:off x="8543925" y="76200"/>
          <a:ext cx="2247900" cy="257175"/>
        </a:xfrm>
        <a:prstGeom prst="rect">
          <a:avLst/>
        </a:prstGeom>
        <a:solidFill>
          <a:srgbClr val="FF0000"/>
        </a:solidFill>
        <a:ln/>
        <a:scene3d>
          <a:camera prst="orthographicFront"/>
          <a:lightRig rig="threePt" dir="t"/>
        </a:scene3d>
        <a:sp3d>
          <a:bevelT/>
        </a:sp3d>
      </xdr:spPr>
      <xdr:style>
        <a:lnRef idx="0">
          <a:schemeClr val="accent1"/>
        </a:lnRef>
        <a:fillRef idx="3">
          <a:schemeClr val="accent1"/>
        </a:fillRef>
        <a:effectRef idx="3">
          <a:schemeClr val="accent1"/>
        </a:effectRef>
        <a:fontRef idx="minor">
          <a:schemeClr val="lt1"/>
        </a:fontRef>
      </xdr:style>
      <xdr:txBody>
        <a:bodyPr vertOverflow="clip" horzOverflow="clip" wrap="square" rtlCol="0" anchor="ctr"/>
        <a:lstStyle/>
        <a:p>
          <a:pPr algn="ctr"/>
          <a:r>
            <a:rPr lang="en-US" sz="1200" b="1"/>
            <a:t>Return to Summary Worksheet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276226</xdr:colOff>
      <xdr:row>15</xdr:row>
      <xdr:rowOff>161925</xdr:rowOff>
    </xdr:from>
    <xdr:to>
      <xdr:col>30</xdr:col>
      <xdr:colOff>257177</xdr:colOff>
      <xdr:row>23</xdr:row>
      <xdr:rowOff>133350</xdr:rowOff>
    </xdr:to>
    <xdr:sp macro="" textlink="">
      <xdr:nvSpPr>
        <xdr:cNvPr id="2" name="TextBox 1"/>
        <xdr:cNvSpPr txBox="1"/>
      </xdr:nvSpPr>
      <xdr:spPr>
        <a:xfrm>
          <a:off x="8077201" y="3171825"/>
          <a:ext cx="5514976" cy="1571625"/>
        </a:xfrm>
        <a:prstGeom prst="rect">
          <a:avLst/>
        </a:prstGeom>
        <a:ln>
          <a:solidFill>
            <a:sysClr val="windowText" lastClr="000000"/>
          </a:solidFill>
        </a:ln>
      </xdr:spPr>
      <xdr:style>
        <a:lnRef idx="0">
          <a:schemeClr val="accent1"/>
        </a:lnRef>
        <a:fillRef idx="3">
          <a:schemeClr val="accent1"/>
        </a:fillRef>
        <a:effectRef idx="3">
          <a:schemeClr val="accent1"/>
        </a:effectRef>
        <a:fontRef idx="minor">
          <a:schemeClr val="lt1"/>
        </a:fontRef>
      </xdr:style>
      <xdr:txBody>
        <a:bodyPr vertOverflow="clip" horzOverflow="clip" wrap="square" rtlCol="0" anchor="ctr"/>
        <a:lstStyle/>
        <a:p>
          <a:pPr algn="ctr"/>
          <a:r>
            <a:rPr lang="en-US" sz="2400" b="1">
              <a:solidFill>
                <a:schemeClr val="tx1"/>
              </a:solidFill>
            </a:rPr>
            <a:t>Instructions</a:t>
          </a:r>
        </a:p>
        <a:p>
          <a:pPr algn="ctr"/>
          <a:r>
            <a:rPr lang="en-US" sz="1200" b="1">
              <a:solidFill>
                <a:schemeClr val="tx1"/>
              </a:solidFill>
            </a:rPr>
            <a:t>Solve the following problem: As new data are entered and the list in columns B through J grows longer, how do you get the pension report (specifically, the cells beginning in columns P and Y containing the Last Name, First Name, Address, Phone, City, State, Zip, Plan and Balance data) to automatically display the last row of data as the data continues to grow? Send your solution</a:t>
          </a:r>
          <a:r>
            <a:rPr lang="en-US" sz="1200" b="1" baseline="0">
              <a:solidFill>
                <a:schemeClr val="tx1"/>
              </a:solidFill>
            </a:rPr>
            <a:t> to me at  </a:t>
          </a:r>
          <a:r>
            <a:rPr lang="en-US" sz="1200" b="1">
              <a:solidFill>
                <a:schemeClr val="tx1"/>
              </a:solidFill>
            </a:rPr>
            <a:t>J. Carlton Collins (carlton@asaresearch.com)  </a:t>
          </a:r>
          <a:endParaRPr lang="en-US" sz="1000"/>
        </a:p>
      </xdr:txBody>
    </xdr:sp>
    <xdr:clientData/>
  </xdr:twoCellAnchor>
  <xdr:twoCellAnchor>
    <xdr:from>
      <xdr:col>11</xdr:col>
      <xdr:colOff>0</xdr:colOff>
      <xdr:row>25</xdr:row>
      <xdr:rowOff>0</xdr:rowOff>
    </xdr:from>
    <xdr:to>
      <xdr:col>19</xdr:col>
      <xdr:colOff>38100</xdr:colOff>
      <xdr:row>26</xdr:row>
      <xdr:rowOff>57150</xdr:rowOff>
    </xdr:to>
    <xdr:sp macro="" textlink="">
      <xdr:nvSpPr>
        <xdr:cNvPr id="3" name="TextBox 2">
          <a:hlinkClick xmlns:r="http://schemas.openxmlformats.org/officeDocument/2006/relationships" r:id="rId1"/>
        </xdr:cNvPr>
        <xdr:cNvSpPr txBox="1"/>
      </xdr:nvSpPr>
      <xdr:spPr>
        <a:xfrm>
          <a:off x="8086725" y="5010150"/>
          <a:ext cx="2247900" cy="257175"/>
        </a:xfrm>
        <a:prstGeom prst="rect">
          <a:avLst/>
        </a:prstGeom>
        <a:solidFill>
          <a:srgbClr val="FF0000"/>
        </a:solidFill>
        <a:ln/>
        <a:scene3d>
          <a:camera prst="orthographicFront"/>
          <a:lightRig rig="threePt" dir="t"/>
        </a:scene3d>
        <a:sp3d>
          <a:bevelT/>
        </a:sp3d>
      </xdr:spPr>
      <xdr:style>
        <a:lnRef idx="0">
          <a:schemeClr val="accent1"/>
        </a:lnRef>
        <a:fillRef idx="3">
          <a:schemeClr val="accent1"/>
        </a:fillRef>
        <a:effectRef idx="3">
          <a:schemeClr val="accent1"/>
        </a:effectRef>
        <a:fontRef idx="minor">
          <a:schemeClr val="lt1"/>
        </a:fontRef>
      </xdr:style>
      <xdr:txBody>
        <a:bodyPr vertOverflow="clip" horzOverflow="clip" wrap="square" rtlCol="0" anchor="ctr"/>
        <a:lstStyle/>
        <a:p>
          <a:pPr algn="ctr"/>
          <a:r>
            <a:rPr lang="en-US" sz="1200" b="1"/>
            <a:t>Return to Summary Worksheet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276226</xdr:colOff>
      <xdr:row>17</xdr:row>
      <xdr:rowOff>161925</xdr:rowOff>
    </xdr:from>
    <xdr:to>
      <xdr:col>30</xdr:col>
      <xdr:colOff>257177</xdr:colOff>
      <xdr:row>25</xdr:row>
      <xdr:rowOff>133350</xdr:rowOff>
    </xdr:to>
    <xdr:sp macro="" textlink="">
      <xdr:nvSpPr>
        <xdr:cNvPr id="2" name="TextBox 1"/>
        <xdr:cNvSpPr txBox="1"/>
      </xdr:nvSpPr>
      <xdr:spPr>
        <a:xfrm>
          <a:off x="8724901" y="3581400"/>
          <a:ext cx="5915026" cy="1571625"/>
        </a:xfrm>
        <a:prstGeom prst="rect">
          <a:avLst/>
        </a:prstGeom>
        <a:ln>
          <a:solidFill>
            <a:sysClr val="windowText" lastClr="000000"/>
          </a:solidFill>
        </a:ln>
      </xdr:spPr>
      <xdr:style>
        <a:lnRef idx="0">
          <a:schemeClr val="accent1"/>
        </a:lnRef>
        <a:fillRef idx="3">
          <a:schemeClr val="accent1"/>
        </a:fillRef>
        <a:effectRef idx="3">
          <a:schemeClr val="accent1"/>
        </a:effectRef>
        <a:fontRef idx="minor">
          <a:schemeClr val="lt1"/>
        </a:fontRef>
      </xdr:style>
      <xdr:txBody>
        <a:bodyPr vertOverflow="clip" horzOverflow="clip" wrap="square" rtlCol="0" anchor="ctr"/>
        <a:lstStyle/>
        <a:p>
          <a:pPr algn="ctr"/>
          <a:r>
            <a:rPr lang="en-US" sz="2400" b="1">
              <a:solidFill>
                <a:schemeClr val="tx1"/>
              </a:solidFill>
            </a:rPr>
            <a:t>Instructions</a:t>
          </a:r>
        </a:p>
        <a:p>
          <a:pPr algn="ctr"/>
          <a:r>
            <a:rPr lang="en-US" sz="1200" b="1">
              <a:solidFill>
                <a:schemeClr val="tx1"/>
              </a:solidFill>
            </a:rPr>
            <a:t>Solve the following problem: As new data are entered and the list in columns B through J grows longer, how do you get the pension report (specifically, the cells beginning in columns P and Y containing the Last Name, First Name, Address, Phone, City, State, Zip, Plan and Balance data) to automatically display the last row of data as the data continues to grow? Send your solution</a:t>
          </a:r>
          <a:r>
            <a:rPr lang="en-US" sz="1200" b="1" baseline="0">
              <a:solidFill>
                <a:schemeClr val="tx1"/>
              </a:solidFill>
            </a:rPr>
            <a:t> to me at  </a:t>
          </a:r>
          <a:r>
            <a:rPr lang="en-US" sz="1200" b="1">
              <a:solidFill>
                <a:schemeClr val="tx1"/>
              </a:solidFill>
            </a:rPr>
            <a:t>J. Carlton Collins (carlton@asaresearch.com)  </a:t>
          </a:r>
          <a:endParaRPr lang="en-US" sz="1000"/>
        </a:p>
      </xdr:txBody>
    </xdr:sp>
    <xdr:clientData/>
  </xdr:twoCellAnchor>
  <xdr:twoCellAnchor>
    <xdr:from>
      <xdr:col>15</xdr:col>
      <xdr:colOff>0</xdr:colOff>
      <xdr:row>0</xdr:row>
      <xdr:rowOff>0</xdr:rowOff>
    </xdr:from>
    <xdr:to>
      <xdr:col>22</xdr:col>
      <xdr:colOff>314325</xdr:colOff>
      <xdr:row>1</xdr:row>
      <xdr:rowOff>57150</xdr:rowOff>
    </xdr:to>
    <xdr:sp macro="" textlink="">
      <xdr:nvSpPr>
        <xdr:cNvPr id="3" name="TextBox 2">
          <a:hlinkClick xmlns:r="http://schemas.openxmlformats.org/officeDocument/2006/relationships" r:id="rId1"/>
        </xdr:cNvPr>
        <xdr:cNvSpPr txBox="1"/>
      </xdr:nvSpPr>
      <xdr:spPr>
        <a:xfrm>
          <a:off x="9839325" y="0"/>
          <a:ext cx="2247900" cy="257175"/>
        </a:xfrm>
        <a:prstGeom prst="rect">
          <a:avLst/>
        </a:prstGeom>
        <a:solidFill>
          <a:srgbClr val="FF0000"/>
        </a:solidFill>
        <a:ln/>
        <a:scene3d>
          <a:camera prst="orthographicFront"/>
          <a:lightRig rig="threePt" dir="t"/>
        </a:scene3d>
        <a:sp3d>
          <a:bevelT/>
        </a:sp3d>
      </xdr:spPr>
      <xdr:style>
        <a:lnRef idx="0">
          <a:schemeClr val="accent1"/>
        </a:lnRef>
        <a:fillRef idx="3">
          <a:schemeClr val="accent1"/>
        </a:fillRef>
        <a:effectRef idx="3">
          <a:schemeClr val="accent1"/>
        </a:effectRef>
        <a:fontRef idx="minor">
          <a:schemeClr val="lt1"/>
        </a:fontRef>
      </xdr:style>
      <xdr:txBody>
        <a:bodyPr vertOverflow="clip" horzOverflow="clip" wrap="square" rtlCol="0" anchor="ctr"/>
        <a:lstStyle/>
        <a:p>
          <a:pPr algn="ctr"/>
          <a:r>
            <a:rPr lang="en-US" sz="1200" b="1"/>
            <a:t>Return to Summary Worksheet</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276226</xdr:colOff>
      <xdr:row>17</xdr:row>
      <xdr:rowOff>161925</xdr:rowOff>
    </xdr:from>
    <xdr:to>
      <xdr:col>30</xdr:col>
      <xdr:colOff>257177</xdr:colOff>
      <xdr:row>25</xdr:row>
      <xdr:rowOff>133350</xdr:rowOff>
    </xdr:to>
    <xdr:sp macro="" textlink="">
      <xdr:nvSpPr>
        <xdr:cNvPr id="2" name="TextBox 1"/>
        <xdr:cNvSpPr txBox="1"/>
      </xdr:nvSpPr>
      <xdr:spPr>
        <a:xfrm>
          <a:off x="8077201" y="3581400"/>
          <a:ext cx="5514976" cy="1571625"/>
        </a:xfrm>
        <a:prstGeom prst="rect">
          <a:avLst/>
        </a:prstGeom>
        <a:ln>
          <a:solidFill>
            <a:sysClr val="windowText" lastClr="000000"/>
          </a:solidFill>
        </a:ln>
      </xdr:spPr>
      <xdr:style>
        <a:lnRef idx="0">
          <a:schemeClr val="accent1"/>
        </a:lnRef>
        <a:fillRef idx="3">
          <a:schemeClr val="accent1"/>
        </a:fillRef>
        <a:effectRef idx="3">
          <a:schemeClr val="accent1"/>
        </a:effectRef>
        <a:fontRef idx="minor">
          <a:schemeClr val="lt1"/>
        </a:fontRef>
      </xdr:style>
      <xdr:txBody>
        <a:bodyPr vertOverflow="clip" horzOverflow="clip" wrap="square" rtlCol="0" anchor="ctr"/>
        <a:lstStyle/>
        <a:p>
          <a:pPr algn="ctr"/>
          <a:r>
            <a:rPr lang="en-US" sz="2400" b="1">
              <a:solidFill>
                <a:schemeClr val="tx1"/>
              </a:solidFill>
            </a:rPr>
            <a:t>Instructions</a:t>
          </a:r>
        </a:p>
        <a:p>
          <a:pPr algn="ctr"/>
          <a:r>
            <a:rPr lang="en-US" sz="1200" b="1">
              <a:solidFill>
                <a:schemeClr val="tx1"/>
              </a:solidFill>
            </a:rPr>
            <a:t>Solve the following problem: As new data are entered and the list in columns B through J grows longer, how do you get the pension report (specifically, the cells beginning in columns P and Y containing the Last Name, First Name, Address, Phone, City, State, Zip, Plan and Balance data) to automatically display the last row of data as the data continues to grow? Send your solution</a:t>
          </a:r>
          <a:r>
            <a:rPr lang="en-US" sz="1200" b="1" baseline="0">
              <a:solidFill>
                <a:schemeClr val="tx1"/>
              </a:solidFill>
            </a:rPr>
            <a:t> to me at  </a:t>
          </a:r>
          <a:r>
            <a:rPr lang="en-US" sz="1200" b="1">
              <a:solidFill>
                <a:schemeClr val="tx1"/>
              </a:solidFill>
            </a:rPr>
            <a:t>J. Carlton Collins (carlton@asaresearch.com)  </a:t>
          </a:r>
          <a:endParaRPr lang="en-US" sz="1000"/>
        </a:p>
      </xdr:txBody>
    </xdr:sp>
    <xdr:clientData/>
  </xdr:twoCellAnchor>
  <xdr:twoCellAnchor>
    <xdr:from>
      <xdr:col>14</xdr:col>
      <xdr:colOff>0</xdr:colOff>
      <xdr:row>0</xdr:row>
      <xdr:rowOff>0</xdr:rowOff>
    </xdr:from>
    <xdr:to>
      <xdr:col>22</xdr:col>
      <xdr:colOff>38100</xdr:colOff>
      <xdr:row>1</xdr:row>
      <xdr:rowOff>57150</xdr:rowOff>
    </xdr:to>
    <xdr:sp macro="" textlink="">
      <xdr:nvSpPr>
        <xdr:cNvPr id="3" name="TextBox 2">
          <a:hlinkClick xmlns:r="http://schemas.openxmlformats.org/officeDocument/2006/relationships" r:id="rId1"/>
        </xdr:cNvPr>
        <xdr:cNvSpPr txBox="1"/>
      </xdr:nvSpPr>
      <xdr:spPr>
        <a:xfrm>
          <a:off x="8915400" y="0"/>
          <a:ext cx="2247900" cy="257175"/>
        </a:xfrm>
        <a:prstGeom prst="rect">
          <a:avLst/>
        </a:prstGeom>
        <a:solidFill>
          <a:srgbClr val="FF0000"/>
        </a:solidFill>
        <a:ln/>
        <a:scene3d>
          <a:camera prst="orthographicFront"/>
          <a:lightRig rig="threePt" dir="t"/>
        </a:scene3d>
        <a:sp3d>
          <a:bevelT/>
        </a:sp3d>
      </xdr:spPr>
      <xdr:style>
        <a:lnRef idx="0">
          <a:schemeClr val="accent1"/>
        </a:lnRef>
        <a:fillRef idx="3">
          <a:schemeClr val="accent1"/>
        </a:fillRef>
        <a:effectRef idx="3">
          <a:schemeClr val="accent1"/>
        </a:effectRef>
        <a:fontRef idx="minor">
          <a:schemeClr val="lt1"/>
        </a:fontRef>
      </xdr:style>
      <xdr:txBody>
        <a:bodyPr vertOverflow="clip" horzOverflow="clip" wrap="square" rtlCol="0" anchor="ctr"/>
        <a:lstStyle/>
        <a:p>
          <a:pPr algn="ctr"/>
          <a:r>
            <a:rPr lang="en-US" sz="1200" b="1"/>
            <a:t>Return to Summary Worksheet</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276226</xdr:colOff>
      <xdr:row>17</xdr:row>
      <xdr:rowOff>161925</xdr:rowOff>
    </xdr:from>
    <xdr:to>
      <xdr:col>26</xdr:col>
      <xdr:colOff>257177</xdr:colOff>
      <xdr:row>25</xdr:row>
      <xdr:rowOff>133350</xdr:rowOff>
    </xdr:to>
    <xdr:sp macro="" textlink="">
      <xdr:nvSpPr>
        <xdr:cNvPr id="2" name="TextBox 1"/>
        <xdr:cNvSpPr txBox="1"/>
      </xdr:nvSpPr>
      <xdr:spPr>
        <a:xfrm>
          <a:off x="8734426" y="3581400"/>
          <a:ext cx="5343526" cy="1571625"/>
        </a:xfrm>
        <a:prstGeom prst="rect">
          <a:avLst/>
        </a:prstGeom>
        <a:ln>
          <a:solidFill>
            <a:sysClr val="windowText" lastClr="000000"/>
          </a:solidFill>
        </a:ln>
      </xdr:spPr>
      <xdr:style>
        <a:lnRef idx="0">
          <a:schemeClr val="accent1"/>
        </a:lnRef>
        <a:fillRef idx="3">
          <a:schemeClr val="accent1"/>
        </a:fillRef>
        <a:effectRef idx="3">
          <a:schemeClr val="accent1"/>
        </a:effectRef>
        <a:fontRef idx="minor">
          <a:schemeClr val="lt1"/>
        </a:fontRef>
      </xdr:style>
      <xdr:txBody>
        <a:bodyPr vertOverflow="clip" horzOverflow="clip" wrap="square" rtlCol="0" anchor="ctr"/>
        <a:lstStyle/>
        <a:p>
          <a:pPr algn="ctr"/>
          <a:r>
            <a:rPr lang="en-US" sz="2400" b="1">
              <a:solidFill>
                <a:schemeClr val="tx1"/>
              </a:solidFill>
            </a:rPr>
            <a:t>Instructions</a:t>
          </a:r>
        </a:p>
        <a:p>
          <a:pPr algn="ctr"/>
          <a:r>
            <a:rPr lang="en-US" sz="1200" b="1">
              <a:solidFill>
                <a:schemeClr val="tx1"/>
              </a:solidFill>
            </a:rPr>
            <a:t>Solve the following problem: As new data are entered and the list in columns B through J grows longer, how do you get the pension report (specifically, the cells beginning in columns P and Y containing the Last Name, First Name, Address, Phone, City, State, Zip, Plan and Balance data) to automatically display the last row of data as the data continues to grow? Send your solution</a:t>
          </a:r>
          <a:r>
            <a:rPr lang="en-US" sz="1200" b="1" baseline="0">
              <a:solidFill>
                <a:schemeClr val="tx1"/>
              </a:solidFill>
            </a:rPr>
            <a:t> to me at  </a:t>
          </a:r>
          <a:r>
            <a:rPr lang="en-US" sz="1200" b="1">
              <a:solidFill>
                <a:schemeClr val="tx1"/>
              </a:solidFill>
            </a:rPr>
            <a:t>J. Carlton Collins (carlton@asaresearch.com)  </a:t>
          </a:r>
          <a:endParaRPr lang="en-US" sz="1000"/>
        </a:p>
      </xdr:txBody>
    </xdr:sp>
    <xdr:clientData/>
  </xdr:twoCellAnchor>
  <xdr:twoCellAnchor>
    <xdr:from>
      <xdr:col>14</xdr:col>
      <xdr:colOff>0</xdr:colOff>
      <xdr:row>0</xdr:row>
      <xdr:rowOff>0</xdr:rowOff>
    </xdr:from>
    <xdr:to>
      <xdr:col>22</xdr:col>
      <xdr:colOff>38100</xdr:colOff>
      <xdr:row>1</xdr:row>
      <xdr:rowOff>57150</xdr:rowOff>
    </xdr:to>
    <xdr:sp macro="" textlink="">
      <xdr:nvSpPr>
        <xdr:cNvPr id="3" name="TextBox 2">
          <a:hlinkClick xmlns:r="http://schemas.openxmlformats.org/officeDocument/2006/relationships" r:id="rId1"/>
        </xdr:cNvPr>
        <xdr:cNvSpPr txBox="1"/>
      </xdr:nvSpPr>
      <xdr:spPr>
        <a:xfrm>
          <a:off x="9572625" y="0"/>
          <a:ext cx="2247900" cy="257175"/>
        </a:xfrm>
        <a:prstGeom prst="rect">
          <a:avLst/>
        </a:prstGeom>
        <a:solidFill>
          <a:srgbClr val="FF0000"/>
        </a:solidFill>
        <a:ln/>
        <a:scene3d>
          <a:camera prst="orthographicFront"/>
          <a:lightRig rig="threePt" dir="t"/>
        </a:scene3d>
        <a:sp3d>
          <a:bevelT/>
        </a:sp3d>
      </xdr:spPr>
      <xdr:style>
        <a:lnRef idx="0">
          <a:schemeClr val="accent1"/>
        </a:lnRef>
        <a:fillRef idx="3">
          <a:schemeClr val="accent1"/>
        </a:fillRef>
        <a:effectRef idx="3">
          <a:schemeClr val="accent1"/>
        </a:effectRef>
        <a:fontRef idx="minor">
          <a:schemeClr val="lt1"/>
        </a:fontRef>
      </xdr:style>
      <xdr:txBody>
        <a:bodyPr vertOverflow="clip" horzOverflow="clip" wrap="square" rtlCol="0" anchor="ctr"/>
        <a:lstStyle/>
        <a:p>
          <a:pPr algn="ctr"/>
          <a:r>
            <a:rPr lang="en-US" sz="1200" b="1"/>
            <a:t>Return to Summary Worksheet</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12</xdr:col>
      <xdr:colOff>0</xdr:colOff>
      <xdr:row>17</xdr:row>
      <xdr:rowOff>161925</xdr:rowOff>
    </xdr:from>
    <xdr:to>
      <xdr:col>31</xdr:col>
      <xdr:colOff>257177</xdr:colOff>
      <xdr:row>27</xdr:row>
      <xdr:rowOff>57150</xdr:rowOff>
    </xdr:to>
    <xdr:sp macro="" textlink="">
      <xdr:nvSpPr>
        <xdr:cNvPr id="2" name="TextBox 1"/>
        <xdr:cNvSpPr txBox="1"/>
      </xdr:nvSpPr>
      <xdr:spPr>
        <a:xfrm>
          <a:off x="8296275" y="3590925"/>
          <a:ext cx="5505452" cy="1895475"/>
        </a:xfrm>
        <a:prstGeom prst="rect">
          <a:avLst/>
        </a:prstGeom>
        <a:ln>
          <a:solidFill>
            <a:sysClr val="windowText" lastClr="000000"/>
          </a:solidFill>
        </a:ln>
      </xdr:spPr>
      <xdr:style>
        <a:lnRef idx="0">
          <a:schemeClr val="accent1"/>
        </a:lnRef>
        <a:fillRef idx="3">
          <a:schemeClr val="accent1"/>
        </a:fillRef>
        <a:effectRef idx="3">
          <a:schemeClr val="accent1"/>
        </a:effectRef>
        <a:fontRef idx="minor">
          <a:schemeClr val="lt1"/>
        </a:fontRef>
      </xdr:style>
      <xdr:txBody>
        <a:bodyPr vertOverflow="clip" horzOverflow="clip" wrap="square" rtlCol="0" anchor="ctr"/>
        <a:lstStyle/>
        <a:p>
          <a:pPr algn="ctr"/>
          <a:r>
            <a:rPr lang="en-US" sz="2400" b="1">
              <a:solidFill>
                <a:schemeClr val="tx1"/>
              </a:solidFill>
            </a:rPr>
            <a:t>Instructions</a:t>
          </a:r>
        </a:p>
        <a:p>
          <a:pPr algn="ctr"/>
          <a:r>
            <a:rPr lang="en-US" sz="1200" b="1">
              <a:solidFill>
                <a:schemeClr val="tx1"/>
              </a:solidFill>
            </a:rPr>
            <a:t>Solve the following problem: As new data are entered and the list in columns B through J grows longer, how do you get the pension report (specifically, the cells beginning in columns P and Y containing the Last Name, First Name, Address, Phone, City, State, Zip, Plan and Balance data) to automatically display the last row of data as the data continues to grow? Send your solution</a:t>
          </a:r>
          <a:r>
            <a:rPr lang="en-US" sz="1200" b="1" baseline="0">
              <a:solidFill>
                <a:schemeClr val="tx1"/>
              </a:solidFill>
            </a:rPr>
            <a:t> to me at  </a:t>
          </a:r>
          <a:r>
            <a:rPr lang="en-US" sz="1200" b="1">
              <a:solidFill>
                <a:schemeClr val="tx1"/>
              </a:solidFill>
            </a:rPr>
            <a:t>J. Carlton Collins (carlton@asaresearch.com)  </a:t>
          </a:r>
          <a:endParaRPr lang="en-US" sz="1000"/>
        </a:p>
      </xdr:txBody>
    </xdr:sp>
    <xdr:clientData/>
  </xdr:twoCellAnchor>
  <xdr:twoCellAnchor>
    <xdr:from>
      <xdr:col>18</xdr:col>
      <xdr:colOff>0</xdr:colOff>
      <xdr:row>0</xdr:row>
      <xdr:rowOff>0</xdr:rowOff>
    </xdr:from>
    <xdr:to>
      <xdr:col>26</xdr:col>
      <xdr:colOff>38100</xdr:colOff>
      <xdr:row>1</xdr:row>
      <xdr:rowOff>47625</xdr:rowOff>
    </xdr:to>
    <xdr:sp macro="" textlink="">
      <xdr:nvSpPr>
        <xdr:cNvPr id="3" name="TextBox 2">
          <a:hlinkClick xmlns:r="http://schemas.openxmlformats.org/officeDocument/2006/relationships" r:id="rId1"/>
        </xdr:cNvPr>
        <xdr:cNvSpPr txBox="1"/>
      </xdr:nvSpPr>
      <xdr:spPr>
        <a:xfrm>
          <a:off x="9953625" y="0"/>
          <a:ext cx="2247900" cy="257175"/>
        </a:xfrm>
        <a:prstGeom prst="rect">
          <a:avLst/>
        </a:prstGeom>
        <a:solidFill>
          <a:srgbClr val="FF0000"/>
        </a:solidFill>
        <a:ln/>
        <a:scene3d>
          <a:camera prst="orthographicFront"/>
          <a:lightRig rig="threePt" dir="t"/>
        </a:scene3d>
        <a:sp3d>
          <a:bevelT/>
        </a:sp3d>
      </xdr:spPr>
      <xdr:style>
        <a:lnRef idx="0">
          <a:schemeClr val="accent1"/>
        </a:lnRef>
        <a:fillRef idx="3">
          <a:schemeClr val="accent1"/>
        </a:fillRef>
        <a:effectRef idx="3">
          <a:schemeClr val="accent1"/>
        </a:effectRef>
        <a:fontRef idx="minor">
          <a:schemeClr val="lt1"/>
        </a:fontRef>
      </xdr:style>
      <xdr:txBody>
        <a:bodyPr vertOverflow="clip" horzOverflow="clip" wrap="square" rtlCol="0" anchor="ctr"/>
        <a:lstStyle/>
        <a:p>
          <a:pPr algn="ctr"/>
          <a:r>
            <a:rPr lang="en-US" sz="1200" b="1"/>
            <a:t>Return to Summary Worksheet</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276226</xdr:colOff>
      <xdr:row>17</xdr:row>
      <xdr:rowOff>161925</xdr:rowOff>
    </xdr:from>
    <xdr:to>
      <xdr:col>30</xdr:col>
      <xdr:colOff>257177</xdr:colOff>
      <xdr:row>25</xdr:row>
      <xdr:rowOff>133350</xdr:rowOff>
    </xdr:to>
    <xdr:sp macro="" textlink="">
      <xdr:nvSpPr>
        <xdr:cNvPr id="2" name="TextBox 1"/>
        <xdr:cNvSpPr txBox="1"/>
      </xdr:nvSpPr>
      <xdr:spPr>
        <a:xfrm>
          <a:off x="8077201" y="3581400"/>
          <a:ext cx="5514976" cy="1571625"/>
        </a:xfrm>
        <a:prstGeom prst="rect">
          <a:avLst/>
        </a:prstGeom>
        <a:ln>
          <a:solidFill>
            <a:sysClr val="windowText" lastClr="000000"/>
          </a:solidFill>
        </a:ln>
      </xdr:spPr>
      <xdr:style>
        <a:lnRef idx="0">
          <a:schemeClr val="accent1"/>
        </a:lnRef>
        <a:fillRef idx="3">
          <a:schemeClr val="accent1"/>
        </a:fillRef>
        <a:effectRef idx="3">
          <a:schemeClr val="accent1"/>
        </a:effectRef>
        <a:fontRef idx="minor">
          <a:schemeClr val="lt1"/>
        </a:fontRef>
      </xdr:style>
      <xdr:txBody>
        <a:bodyPr vertOverflow="clip" horzOverflow="clip" wrap="square" rtlCol="0" anchor="ctr"/>
        <a:lstStyle/>
        <a:p>
          <a:pPr algn="ctr"/>
          <a:r>
            <a:rPr lang="en-US" sz="2400" b="1">
              <a:solidFill>
                <a:schemeClr val="tx1"/>
              </a:solidFill>
            </a:rPr>
            <a:t>Instructions</a:t>
          </a:r>
        </a:p>
        <a:p>
          <a:pPr algn="ctr"/>
          <a:r>
            <a:rPr lang="en-US" sz="1200" b="1">
              <a:solidFill>
                <a:schemeClr val="tx1"/>
              </a:solidFill>
            </a:rPr>
            <a:t>Solve the following problem: As new data are entered and the list in columns B through J grows longer, how do you get the pension report (specifically, the cells beginning in columns P and Y containing the Last Name, First Name, Address, Phone, City, State, Zip, Plan and Balance data) to automatically display the last row of data as the data continues to grow? Send your solution</a:t>
          </a:r>
          <a:r>
            <a:rPr lang="en-US" sz="1200" b="1" baseline="0">
              <a:solidFill>
                <a:schemeClr val="tx1"/>
              </a:solidFill>
            </a:rPr>
            <a:t> to me at  </a:t>
          </a:r>
          <a:r>
            <a:rPr lang="en-US" sz="1200" b="1">
              <a:solidFill>
                <a:schemeClr val="tx1"/>
              </a:solidFill>
            </a:rPr>
            <a:t>J. Carlton Collins (carlton@asaresearch.com)  </a:t>
          </a:r>
          <a:endParaRPr lang="en-US" sz="1000"/>
        </a:p>
      </xdr:txBody>
    </xdr:sp>
    <xdr:clientData/>
  </xdr:twoCellAnchor>
  <xdr:twoCellAnchor>
    <xdr:from>
      <xdr:col>15</xdr:col>
      <xdr:colOff>0</xdr:colOff>
      <xdr:row>0</xdr:row>
      <xdr:rowOff>0</xdr:rowOff>
    </xdr:from>
    <xdr:to>
      <xdr:col>23</xdr:col>
      <xdr:colOff>38100</xdr:colOff>
      <xdr:row>1</xdr:row>
      <xdr:rowOff>57150</xdr:rowOff>
    </xdr:to>
    <xdr:sp macro="" textlink="">
      <xdr:nvSpPr>
        <xdr:cNvPr id="3" name="TextBox 2">
          <a:hlinkClick xmlns:r="http://schemas.openxmlformats.org/officeDocument/2006/relationships" r:id="rId1"/>
        </xdr:cNvPr>
        <xdr:cNvSpPr txBox="1"/>
      </xdr:nvSpPr>
      <xdr:spPr>
        <a:xfrm>
          <a:off x="9191625" y="0"/>
          <a:ext cx="2247900" cy="257175"/>
        </a:xfrm>
        <a:prstGeom prst="rect">
          <a:avLst/>
        </a:prstGeom>
        <a:solidFill>
          <a:srgbClr val="FF0000"/>
        </a:solidFill>
        <a:ln/>
        <a:scene3d>
          <a:camera prst="orthographicFront"/>
          <a:lightRig rig="threePt" dir="t"/>
        </a:scene3d>
        <a:sp3d>
          <a:bevelT/>
        </a:sp3d>
      </xdr:spPr>
      <xdr:style>
        <a:lnRef idx="0">
          <a:schemeClr val="accent1"/>
        </a:lnRef>
        <a:fillRef idx="3">
          <a:schemeClr val="accent1"/>
        </a:fillRef>
        <a:effectRef idx="3">
          <a:schemeClr val="accent1"/>
        </a:effectRef>
        <a:fontRef idx="minor">
          <a:schemeClr val="lt1"/>
        </a:fontRef>
      </xdr:style>
      <xdr:txBody>
        <a:bodyPr vertOverflow="clip" horzOverflow="clip" wrap="square" rtlCol="0" anchor="ctr"/>
        <a:lstStyle/>
        <a:p>
          <a:pPr algn="ctr"/>
          <a:r>
            <a:rPr lang="en-US" sz="1200" b="1"/>
            <a:t>Return to Summary Worksheet</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276226</xdr:colOff>
      <xdr:row>17</xdr:row>
      <xdr:rowOff>161925</xdr:rowOff>
    </xdr:from>
    <xdr:to>
      <xdr:col>30</xdr:col>
      <xdr:colOff>257177</xdr:colOff>
      <xdr:row>25</xdr:row>
      <xdr:rowOff>133350</xdr:rowOff>
    </xdr:to>
    <xdr:sp macro="" textlink="">
      <xdr:nvSpPr>
        <xdr:cNvPr id="2" name="TextBox 1"/>
        <xdr:cNvSpPr txBox="1"/>
      </xdr:nvSpPr>
      <xdr:spPr>
        <a:xfrm>
          <a:off x="8077201" y="3581400"/>
          <a:ext cx="5514976" cy="1571625"/>
        </a:xfrm>
        <a:prstGeom prst="rect">
          <a:avLst/>
        </a:prstGeom>
        <a:ln>
          <a:solidFill>
            <a:sysClr val="windowText" lastClr="000000"/>
          </a:solidFill>
        </a:ln>
      </xdr:spPr>
      <xdr:style>
        <a:lnRef idx="0">
          <a:schemeClr val="accent1"/>
        </a:lnRef>
        <a:fillRef idx="3">
          <a:schemeClr val="accent1"/>
        </a:fillRef>
        <a:effectRef idx="3">
          <a:schemeClr val="accent1"/>
        </a:effectRef>
        <a:fontRef idx="minor">
          <a:schemeClr val="lt1"/>
        </a:fontRef>
      </xdr:style>
      <xdr:txBody>
        <a:bodyPr vertOverflow="clip" horzOverflow="clip" wrap="square" rtlCol="0" anchor="ctr"/>
        <a:lstStyle/>
        <a:p>
          <a:pPr algn="ctr"/>
          <a:r>
            <a:rPr lang="en-US" sz="2400" b="1">
              <a:solidFill>
                <a:schemeClr val="tx1"/>
              </a:solidFill>
            </a:rPr>
            <a:t>Instructions</a:t>
          </a:r>
        </a:p>
        <a:p>
          <a:pPr algn="ctr"/>
          <a:r>
            <a:rPr lang="en-US" sz="1200" b="1">
              <a:solidFill>
                <a:schemeClr val="tx1"/>
              </a:solidFill>
            </a:rPr>
            <a:t>Solve the following problem: As new data are entered and the list in columns B through J grows longer, how do you get the pension report (specifically, the cells beginning in columns P and Y containing the Last Name, First Name, Address, Phone, City, State, Zip, Plan and Balance data) to automatically display the last row of data as the data continues to grow? Send your solution</a:t>
          </a:r>
          <a:r>
            <a:rPr lang="en-US" sz="1200" b="1" baseline="0">
              <a:solidFill>
                <a:schemeClr val="tx1"/>
              </a:solidFill>
            </a:rPr>
            <a:t> to me at  </a:t>
          </a:r>
          <a:r>
            <a:rPr lang="en-US" sz="1200" b="1">
              <a:solidFill>
                <a:schemeClr val="tx1"/>
              </a:solidFill>
            </a:rPr>
            <a:t>J. Carlton Collins (carlton@asaresearch.com)  </a:t>
          </a:r>
          <a:endParaRPr lang="en-US" sz="1000"/>
        </a:p>
      </xdr:txBody>
    </xdr:sp>
    <xdr:clientData/>
  </xdr:twoCellAnchor>
  <xdr:twoCellAnchor>
    <xdr:from>
      <xdr:col>15</xdr:col>
      <xdr:colOff>0</xdr:colOff>
      <xdr:row>0</xdr:row>
      <xdr:rowOff>0</xdr:rowOff>
    </xdr:from>
    <xdr:to>
      <xdr:col>23</xdr:col>
      <xdr:colOff>38100</xdr:colOff>
      <xdr:row>1</xdr:row>
      <xdr:rowOff>57150</xdr:rowOff>
    </xdr:to>
    <xdr:sp macro="" textlink="">
      <xdr:nvSpPr>
        <xdr:cNvPr id="3" name="TextBox 2">
          <a:hlinkClick xmlns:r="http://schemas.openxmlformats.org/officeDocument/2006/relationships" r:id="rId1"/>
        </xdr:cNvPr>
        <xdr:cNvSpPr txBox="1"/>
      </xdr:nvSpPr>
      <xdr:spPr>
        <a:xfrm>
          <a:off x="9191625" y="0"/>
          <a:ext cx="2247900" cy="257175"/>
        </a:xfrm>
        <a:prstGeom prst="rect">
          <a:avLst/>
        </a:prstGeom>
        <a:solidFill>
          <a:srgbClr val="FF0000"/>
        </a:solidFill>
        <a:ln/>
        <a:scene3d>
          <a:camera prst="orthographicFront"/>
          <a:lightRig rig="threePt" dir="t"/>
        </a:scene3d>
        <a:sp3d>
          <a:bevelT/>
        </a:sp3d>
      </xdr:spPr>
      <xdr:style>
        <a:lnRef idx="0">
          <a:schemeClr val="accent1"/>
        </a:lnRef>
        <a:fillRef idx="3">
          <a:schemeClr val="accent1"/>
        </a:fillRef>
        <a:effectRef idx="3">
          <a:schemeClr val="accent1"/>
        </a:effectRef>
        <a:fontRef idx="minor">
          <a:schemeClr val="lt1"/>
        </a:fontRef>
      </xdr:style>
      <xdr:txBody>
        <a:bodyPr vertOverflow="clip" horzOverflow="clip" wrap="square" rtlCol="0" anchor="ctr"/>
        <a:lstStyle/>
        <a:p>
          <a:pPr algn="ctr"/>
          <a:r>
            <a:rPr lang="en-US" sz="1200" b="1"/>
            <a:t>Return to Summary Worksheet</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10</xdr:col>
      <xdr:colOff>276226</xdr:colOff>
      <xdr:row>17</xdr:row>
      <xdr:rowOff>161925</xdr:rowOff>
    </xdr:from>
    <xdr:to>
      <xdr:col>30</xdr:col>
      <xdr:colOff>257177</xdr:colOff>
      <xdr:row>25</xdr:row>
      <xdr:rowOff>133350</xdr:rowOff>
    </xdr:to>
    <xdr:sp macro="" textlink="">
      <xdr:nvSpPr>
        <xdr:cNvPr id="2" name="TextBox 1"/>
        <xdr:cNvSpPr txBox="1"/>
      </xdr:nvSpPr>
      <xdr:spPr>
        <a:xfrm>
          <a:off x="8077201" y="3581400"/>
          <a:ext cx="5514976" cy="1571625"/>
        </a:xfrm>
        <a:prstGeom prst="rect">
          <a:avLst/>
        </a:prstGeom>
        <a:ln>
          <a:solidFill>
            <a:sysClr val="windowText" lastClr="000000"/>
          </a:solidFill>
        </a:ln>
      </xdr:spPr>
      <xdr:style>
        <a:lnRef idx="0">
          <a:schemeClr val="accent1"/>
        </a:lnRef>
        <a:fillRef idx="3">
          <a:schemeClr val="accent1"/>
        </a:fillRef>
        <a:effectRef idx="3">
          <a:schemeClr val="accent1"/>
        </a:effectRef>
        <a:fontRef idx="minor">
          <a:schemeClr val="lt1"/>
        </a:fontRef>
      </xdr:style>
      <xdr:txBody>
        <a:bodyPr vertOverflow="clip" horzOverflow="clip" wrap="square" rtlCol="0" anchor="ctr"/>
        <a:lstStyle/>
        <a:p>
          <a:pPr algn="ctr"/>
          <a:r>
            <a:rPr lang="en-US" sz="2400" b="1">
              <a:solidFill>
                <a:schemeClr val="tx1"/>
              </a:solidFill>
            </a:rPr>
            <a:t>Instructions</a:t>
          </a:r>
        </a:p>
        <a:p>
          <a:pPr algn="ctr"/>
          <a:r>
            <a:rPr lang="en-US" sz="1200" b="1">
              <a:solidFill>
                <a:schemeClr val="tx1"/>
              </a:solidFill>
            </a:rPr>
            <a:t>Solve the following problem: As new data are entered and the list in columns B through J grows longer, how do you get the pension report (specifically, the cells beginning in columns P and Y containing the Last Name, First Name, Address, Phone, City, State, Zip, Plan and Balance data) to automatically display the last row of data as the data continues to grow? Send your solution</a:t>
          </a:r>
          <a:r>
            <a:rPr lang="en-US" sz="1200" b="1" baseline="0">
              <a:solidFill>
                <a:schemeClr val="tx1"/>
              </a:solidFill>
            </a:rPr>
            <a:t> to me at  </a:t>
          </a:r>
          <a:r>
            <a:rPr lang="en-US" sz="1200" b="1">
              <a:solidFill>
                <a:schemeClr val="tx1"/>
              </a:solidFill>
            </a:rPr>
            <a:t>J. Carlton Collins (carlton@asaresearch.com)  </a:t>
          </a:r>
          <a:endParaRPr lang="en-US" sz="1000"/>
        </a:p>
      </xdr:txBody>
    </xdr:sp>
    <xdr:clientData/>
  </xdr:twoCellAnchor>
  <xdr:twoCellAnchor>
    <xdr:from>
      <xdr:col>16</xdr:col>
      <xdr:colOff>0</xdr:colOff>
      <xdr:row>0</xdr:row>
      <xdr:rowOff>0</xdr:rowOff>
    </xdr:from>
    <xdr:to>
      <xdr:col>24</xdr:col>
      <xdr:colOff>38100</xdr:colOff>
      <xdr:row>1</xdr:row>
      <xdr:rowOff>57150</xdr:rowOff>
    </xdr:to>
    <xdr:sp macro="" textlink="">
      <xdr:nvSpPr>
        <xdr:cNvPr id="3" name="TextBox 2">
          <a:hlinkClick xmlns:r="http://schemas.openxmlformats.org/officeDocument/2006/relationships" r:id="rId1"/>
        </xdr:cNvPr>
        <xdr:cNvSpPr txBox="1"/>
      </xdr:nvSpPr>
      <xdr:spPr>
        <a:xfrm>
          <a:off x="9467850" y="0"/>
          <a:ext cx="2247900" cy="257175"/>
        </a:xfrm>
        <a:prstGeom prst="rect">
          <a:avLst/>
        </a:prstGeom>
        <a:solidFill>
          <a:srgbClr val="FF0000"/>
        </a:solidFill>
        <a:ln/>
        <a:scene3d>
          <a:camera prst="orthographicFront"/>
          <a:lightRig rig="threePt" dir="t"/>
        </a:scene3d>
        <a:sp3d>
          <a:bevelT/>
        </a:sp3d>
      </xdr:spPr>
      <xdr:style>
        <a:lnRef idx="0">
          <a:schemeClr val="accent1"/>
        </a:lnRef>
        <a:fillRef idx="3">
          <a:schemeClr val="accent1"/>
        </a:fillRef>
        <a:effectRef idx="3">
          <a:schemeClr val="accent1"/>
        </a:effectRef>
        <a:fontRef idx="minor">
          <a:schemeClr val="lt1"/>
        </a:fontRef>
      </xdr:style>
      <xdr:txBody>
        <a:bodyPr vertOverflow="clip" horzOverflow="clip" wrap="square" rtlCol="0" anchor="ctr"/>
        <a:lstStyle/>
        <a:p>
          <a:pPr algn="ctr"/>
          <a:r>
            <a:rPr lang="en-US" sz="1200" b="1"/>
            <a:t>Return to Summary Worksheet</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276226</xdr:colOff>
      <xdr:row>17</xdr:row>
      <xdr:rowOff>161925</xdr:rowOff>
    </xdr:from>
    <xdr:to>
      <xdr:col>30</xdr:col>
      <xdr:colOff>257177</xdr:colOff>
      <xdr:row>25</xdr:row>
      <xdr:rowOff>133350</xdr:rowOff>
    </xdr:to>
    <xdr:sp macro="" textlink="">
      <xdr:nvSpPr>
        <xdr:cNvPr id="2" name="TextBox 1"/>
        <xdr:cNvSpPr txBox="1"/>
      </xdr:nvSpPr>
      <xdr:spPr>
        <a:xfrm>
          <a:off x="8077201" y="3581400"/>
          <a:ext cx="5514976" cy="1571625"/>
        </a:xfrm>
        <a:prstGeom prst="rect">
          <a:avLst/>
        </a:prstGeom>
        <a:ln>
          <a:solidFill>
            <a:sysClr val="windowText" lastClr="000000"/>
          </a:solidFill>
        </a:ln>
      </xdr:spPr>
      <xdr:style>
        <a:lnRef idx="0">
          <a:schemeClr val="accent1"/>
        </a:lnRef>
        <a:fillRef idx="3">
          <a:schemeClr val="accent1"/>
        </a:fillRef>
        <a:effectRef idx="3">
          <a:schemeClr val="accent1"/>
        </a:effectRef>
        <a:fontRef idx="minor">
          <a:schemeClr val="lt1"/>
        </a:fontRef>
      </xdr:style>
      <xdr:txBody>
        <a:bodyPr vertOverflow="clip" horzOverflow="clip" wrap="square" rtlCol="0" anchor="ctr"/>
        <a:lstStyle/>
        <a:p>
          <a:pPr algn="ctr"/>
          <a:r>
            <a:rPr lang="en-US" sz="2400" b="1">
              <a:solidFill>
                <a:schemeClr val="tx1"/>
              </a:solidFill>
            </a:rPr>
            <a:t>Instructions</a:t>
          </a:r>
        </a:p>
        <a:p>
          <a:pPr algn="ctr"/>
          <a:r>
            <a:rPr lang="en-US" sz="1200" b="1">
              <a:solidFill>
                <a:schemeClr val="tx1"/>
              </a:solidFill>
            </a:rPr>
            <a:t>Solve the following problem: As new data are entered and the list in columns B through J grows longer, how do you get the pension report (specifically, the cells beginning in columns P and Y containing the Last Name, First Name, Address, Phone, City, State, Zip, Plan and Balance data) to automatically display the last row of data as the data continues to grow? Send your solution</a:t>
          </a:r>
          <a:r>
            <a:rPr lang="en-US" sz="1200" b="1" baseline="0">
              <a:solidFill>
                <a:schemeClr val="tx1"/>
              </a:solidFill>
            </a:rPr>
            <a:t> to me at  </a:t>
          </a:r>
          <a:r>
            <a:rPr lang="en-US" sz="1200" b="1">
              <a:solidFill>
                <a:schemeClr val="tx1"/>
              </a:solidFill>
            </a:rPr>
            <a:t>J. Carlton Collins (carlton@asaresearch.com)  </a:t>
          </a:r>
          <a:endParaRPr lang="en-US" sz="1000"/>
        </a:p>
      </xdr:txBody>
    </xdr:sp>
    <xdr:clientData/>
  </xdr:twoCellAnchor>
  <xdr:twoCellAnchor>
    <xdr:from>
      <xdr:col>16</xdr:col>
      <xdr:colOff>0</xdr:colOff>
      <xdr:row>0</xdr:row>
      <xdr:rowOff>0</xdr:rowOff>
    </xdr:from>
    <xdr:to>
      <xdr:col>24</xdr:col>
      <xdr:colOff>38100</xdr:colOff>
      <xdr:row>1</xdr:row>
      <xdr:rowOff>57150</xdr:rowOff>
    </xdr:to>
    <xdr:sp macro="" textlink="">
      <xdr:nvSpPr>
        <xdr:cNvPr id="3" name="TextBox 2">
          <a:hlinkClick xmlns:r="http://schemas.openxmlformats.org/officeDocument/2006/relationships" r:id="rId1"/>
        </xdr:cNvPr>
        <xdr:cNvSpPr txBox="1"/>
      </xdr:nvSpPr>
      <xdr:spPr>
        <a:xfrm>
          <a:off x="9467850" y="0"/>
          <a:ext cx="2247900" cy="257175"/>
        </a:xfrm>
        <a:prstGeom prst="rect">
          <a:avLst/>
        </a:prstGeom>
        <a:solidFill>
          <a:srgbClr val="FF0000"/>
        </a:solidFill>
        <a:ln/>
        <a:scene3d>
          <a:camera prst="orthographicFront"/>
          <a:lightRig rig="threePt" dir="t"/>
        </a:scene3d>
        <a:sp3d>
          <a:bevelT/>
        </a:sp3d>
      </xdr:spPr>
      <xdr:style>
        <a:lnRef idx="0">
          <a:schemeClr val="accent1"/>
        </a:lnRef>
        <a:fillRef idx="3">
          <a:schemeClr val="accent1"/>
        </a:fillRef>
        <a:effectRef idx="3">
          <a:schemeClr val="accent1"/>
        </a:effectRef>
        <a:fontRef idx="minor">
          <a:schemeClr val="lt1"/>
        </a:fontRef>
      </xdr:style>
      <xdr:txBody>
        <a:bodyPr vertOverflow="clip" horzOverflow="clip" wrap="square" rtlCol="0" anchor="ctr"/>
        <a:lstStyle/>
        <a:p>
          <a:pPr algn="ctr"/>
          <a:r>
            <a:rPr lang="en-US" sz="1200" b="1"/>
            <a:t>Return to Summary Worksheet</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276226</xdr:colOff>
      <xdr:row>17</xdr:row>
      <xdr:rowOff>161925</xdr:rowOff>
    </xdr:from>
    <xdr:to>
      <xdr:col>30</xdr:col>
      <xdr:colOff>257177</xdr:colOff>
      <xdr:row>26</xdr:row>
      <xdr:rowOff>171450</xdr:rowOff>
    </xdr:to>
    <xdr:sp macro="" textlink="">
      <xdr:nvSpPr>
        <xdr:cNvPr id="2" name="TextBox 1"/>
        <xdr:cNvSpPr txBox="1"/>
      </xdr:nvSpPr>
      <xdr:spPr>
        <a:xfrm>
          <a:off x="8077201" y="3600450"/>
          <a:ext cx="5514976" cy="1809750"/>
        </a:xfrm>
        <a:prstGeom prst="rect">
          <a:avLst/>
        </a:prstGeom>
        <a:ln>
          <a:solidFill>
            <a:sysClr val="windowText" lastClr="000000"/>
          </a:solidFill>
        </a:ln>
      </xdr:spPr>
      <xdr:style>
        <a:lnRef idx="0">
          <a:schemeClr val="accent1"/>
        </a:lnRef>
        <a:fillRef idx="3">
          <a:schemeClr val="accent1"/>
        </a:fillRef>
        <a:effectRef idx="3">
          <a:schemeClr val="accent1"/>
        </a:effectRef>
        <a:fontRef idx="minor">
          <a:schemeClr val="lt1"/>
        </a:fontRef>
      </xdr:style>
      <xdr:txBody>
        <a:bodyPr vertOverflow="clip" horzOverflow="clip" wrap="square" rtlCol="0" anchor="ctr"/>
        <a:lstStyle/>
        <a:p>
          <a:pPr algn="ctr"/>
          <a:r>
            <a:rPr lang="en-US" sz="2400" b="1">
              <a:solidFill>
                <a:schemeClr val="tx1"/>
              </a:solidFill>
            </a:rPr>
            <a:t>Instructions</a:t>
          </a:r>
        </a:p>
        <a:p>
          <a:pPr algn="ctr"/>
          <a:r>
            <a:rPr lang="en-US" sz="1200" b="1">
              <a:solidFill>
                <a:schemeClr val="tx1"/>
              </a:solidFill>
            </a:rPr>
            <a:t>Solve the following problem: As new data are entered and the list in columns B through J grows longer, how do you get the pension report (specifically, the cells beginning in columns P and Y containing the Last Name, First Name, Address, Phone, City, State, Zip, Plan and Balance data) to automatically display the last row of data as the data continues to grow? Send your solution</a:t>
          </a:r>
          <a:r>
            <a:rPr lang="en-US" sz="1200" b="1" baseline="0">
              <a:solidFill>
                <a:schemeClr val="tx1"/>
              </a:solidFill>
            </a:rPr>
            <a:t> to me at  </a:t>
          </a:r>
          <a:r>
            <a:rPr lang="en-US" sz="1200" b="1">
              <a:solidFill>
                <a:schemeClr val="tx1"/>
              </a:solidFill>
            </a:rPr>
            <a:t>J. Carlton Collins (carlton@asaresearch.com)  </a:t>
          </a:r>
          <a:endParaRPr lang="en-US" sz="1000"/>
        </a:p>
      </xdr:txBody>
    </xdr:sp>
    <xdr:clientData/>
  </xdr:twoCellAnchor>
  <xdr:twoCellAnchor>
    <xdr:from>
      <xdr:col>16</xdr:col>
      <xdr:colOff>0</xdr:colOff>
      <xdr:row>0</xdr:row>
      <xdr:rowOff>0</xdr:rowOff>
    </xdr:from>
    <xdr:to>
      <xdr:col>24</xdr:col>
      <xdr:colOff>38100</xdr:colOff>
      <xdr:row>1</xdr:row>
      <xdr:rowOff>57150</xdr:rowOff>
    </xdr:to>
    <xdr:sp macro="" textlink="">
      <xdr:nvSpPr>
        <xdr:cNvPr id="3" name="TextBox 2">
          <a:hlinkClick xmlns:r="http://schemas.openxmlformats.org/officeDocument/2006/relationships" r:id="rId1"/>
        </xdr:cNvPr>
        <xdr:cNvSpPr txBox="1"/>
      </xdr:nvSpPr>
      <xdr:spPr>
        <a:xfrm>
          <a:off x="9467850" y="0"/>
          <a:ext cx="2247900" cy="257175"/>
        </a:xfrm>
        <a:prstGeom prst="rect">
          <a:avLst/>
        </a:prstGeom>
        <a:solidFill>
          <a:srgbClr val="FF0000"/>
        </a:solidFill>
        <a:ln/>
        <a:scene3d>
          <a:camera prst="orthographicFront"/>
          <a:lightRig rig="threePt" dir="t"/>
        </a:scene3d>
        <a:sp3d>
          <a:bevelT/>
        </a:sp3d>
      </xdr:spPr>
      <xdr:style>
        <a:lnRef idx="0">
          <a:schemeClr val="accent1"/>
        </a:lnRef>
        <a:fillRef idx="3">
          <a:schemeClr val="accent1"/>
        </a:fillRef>
        <a:effectRef idx="3">
          <a:schemeClr val="accent1"/>
        </a:effectRef>
        <a:fontRef idx="minor">
          <a:schemeClr val="lt1"/>
        </a:fontRef>
      </xdr:style>
      <xdr:txBody>
        <a:bodyPr vertOverflow="clip" horzOverflow="clip" wrap="square" rtlCol="0" anchor="ctr"/>
        <a:lstStyle/>
        <a:p>
          <a:pPr algn="ctr"/>
          <a:r>
            <a:rPr lang="en-US" sz="1200" b="1"/>
            <a:t>Return to Summary Worksheet</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10</xdr:col>
      <xdr:colOff>276226</xdr:colOff>
      <xdr:row>17</xdr:row>
      <xdr:rowOff>161925</xdr:rowOff>
    </xdr:from>
    <xdr:to>
      <xdr:col>30</xdr:col>
      <xdr:colOff>257175</xdr:colOff>
      <xdr:row>27</xdr:row>
      <xdr:rowOff>0</xdr:rowOff>
    </xdr:to>
    <xdr:sp macro="" textlink="">
      <xdr:nvSpPr>
        <xdr:cNvPr id="2" name="TextBox 1"/>
        <xdr:cNvSpPr txBox="1"/>
      </xdr:nvSpPr>
      <xdr:spPr>
        <a:xfrm>
          <a:off x="8077201" y="3581400"/>
          <a:ext cx="5514974" cy="1838325"/>
        </a:xfrm>
        <a:prstGeom prst="rect">
          <a:avLst/>
        </a:prstGeom>
        <a:ln>
          <a:solidFill>
            <a:sysClr val="windowText" lastClr="000000"/>
          </a:solidFill>
        </a:ln>
      </xdr:spPr>
      <xdr:style>
        <a:lnRef idx="0">
          <a:schemeClr val="accent1"/>
        </a:lnRef>
        <a:fillRef idx="3">
          <a:schemeClr val="accent1"/>
        </a:fillRef>
        <a:effectRef idx="3">
          <a:schemeClr val="accent1"/>
        </a:effectRef>
        <a:fontRef idx="minor">
          <a:schemeClr val="lt1"/>
        </a:fontRef>
      </xdr:style>
      <xdr:txBody>
        <a:bodyPr vertOverflow="clip" horzOverflow="clip" wrap="square" rtlCol="0" anchor="ctr"/>
        <a:lstStyle/>
        <a:p>
          <a:pPr algn="ctr"/>
          <a:r>
            <a:rPr lang="en-US" sz="2400" b="1">
              <a:solidFill>
                <a:schemeClr val="tx1"/>
              </a:solidFill>
            </a:rPr>
            <a:t>Instructions</a:t>
          </a:r>
        </a:p>
        <a:p>
          <a:pPr algn="ctr"/>
          <a:r>
            <a:rPr lang="en-US" sz="1200" b="1">
              <a:solidFill>
                <a:schemeClr val="tx1"/>
              </a:solidFill>
            </a:rPr>
            <a:t>Solve the following problem: As new data are entered and the list in columns B through J grows longer, how do you get the pension report (specifically, the cells beginning in columns P and Y containing the Last Name, First Name, Address, Phone, City, State, Zip, Plan and Balance data) to automatically display the last row of data as the data continues to grow? Send your solution</a:t>
          </a:r>
          <a:r>
            <a:rPr lang="en-US" sz="1200" b="1" baseline="0">
              <a:solidFill>
                <a:schemeClr val="tx1"/>
              </a:solidFill>
            </a:rPr>
            <a:t> to me at  </a:t>
          </a:r>
          <a:r>
            <a:rPr lang="en-US" sz="1200" b="1">
              <a:solidFill>
                <a:schemeClr val="tx1"/>
              </a:solidFill>
            </a:rPr>
            <a:t>J. Carlton Collins (carlton@asaresearch.com)  </a:t>
          </a:r>
          <a:endParaRPr lang="en-US" sz="1000"/>
        </a:p>
      </xdr:txBody>
    </xdr:sp>
    <xdr:clientData/>
  </xdr:twoCellAnchor>
  <xdr:twoCellAnchor>
    <xdr:from>
      <xdr:col>16</xdr:col>
      <xdr:colOff>0</xdr:colOff>
      <xdr:row>0</xdr:row>
      <xdr:rowOff>0</xdr:rowOff>
    </xdr:from>
    <xdr:to>
      <xdr:col>24</xdr:col>
      <xdr:colOff>38100</xdr:colOff>
      <xdr:row>1</xdr:row>
      <xdr:rowOff>57150</xdr:rowOff>
    </xdr:to>
    <xdr:sp macro="" textlink="">
      <xdr:nvSpPr>
        <xdr:cNvPr id="3" name="TextBox 2">
          <a:hlinkClick xmlns:r="http://schemas.openxmlformats.org/officeDocument/2006/relationships" r:id="rId1"/>
        </xdr:cNvPr>
        <xdr:cNvSpPr txBox="1"/>
      </xdr:nvSpPr>
      <xdr:spPr>
        <a:xfrm>
          <a:off x="9467850" y="0"/>
          <a:ext cx="2247900" cy="257175"/>
        </a:xfrm>
        <a:prstGeom prst="rect">
          <a:avLst/>
        </a:prstGeom>
        <a:solidFill>
          <a:srgbClr val="FF0000"/>
        </a:solidFill>
        <a:ln/>
        <a:scene3d>
          <a:camera prst="orthographicFront"/>
          <a:lightRig rig="threePt" dir="t"/>
        </a:scene3d>
        <a:sp3d>
          <a:bevelT/>
        </a:sp3d>
      </xdr:spPr>
      <xdr:style>
        <a:lnRef idx="0">
          <a:schemeClr val="accent1"/>
        </a:lnRef>
        <a:fillRef idx="3">
          <a:schemeClr val="accent1"/>
        </a:fillRef>
        <a:effectRef idx="3">
          <a:schemeClr val="accent1"/>
        </a:effectRef>
        <a:fontRef idx="minor">
          <a:schemeClr val="lt1"/>
        </a:fontRef>
      </xdr:style>
      <xdr:txBody>
        <a:bodyPr vertOverflow="clip" horzOverflow="clip" wrap="square" rtlCol="0" anchor="ctr"/>
        <a:lstStyle/>
        <a:p>
          <a:pPr algn="ctr"/>
          <a:r>
            <a:rPr lang="en-US" sz="1200" b="1"/>
            <a:t>Return to Summary Worksheet</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10</xdr:col>
      <xdr:colOff>276226</xdr:colOff>
      <xdr:row>19</xdr:row>
      <xdr:rowOff>161925</xdr:rowOff>
    </xdr:from>
    <xdr:to>
      <xdr:col>30</xdr:col>
      <xdr:colOff>257177</xdr:colOff>
      <xdr:row>27</xdr:row>
      <xdr:rowOff>133350</xdr:rowOff>
    </xdr:to>
    <xdr:sp macro="" textlink="">
      <xdr:nvSpPr>
        <xdr:cNvPr id="2" name="TextBox 1"/>
        <xdr:cNvSpPr txBox="1"/>
      </xdr:nvSpPr>
      <xdr:spPr>
        <a:xfrm>
          <a:off x="8153401" y="3981450"/>
          <a:ext cx="5934076" cy="1571625"/>
        </a:xfrm>
        <a:prstGeom prst="rect">
          <a:avLst/>
        </a:prstGeom>
        <a:ln>
          <a:solidFill>
            <a:sysClr val="windowText" lastClr="000000"/>
          </a:solidFill>
        </a:ln>
      </xdr:spPr>
      <xdr:style>
        <a:lnRef idx="0">
          <a:schemeClr val="accent1"/>
        </a:lnRef>
        <a:fillRef idx="3">
          <a:schemeClr val="accent1"/>
        </a:fillRef>
        <a:effectRef idx="3">
          <a:schemeClr val="accent1"/>
        </a:effectRef>
        <a:fontRef idx="minor">
          <a:schemeClr val="lt1"/>
        </a:fontRef>
      </xdr:style>
      <xdr:txBody>
        <a:bodyPr vertOverflow="clip" horzOverflow="clip" wrap="square" rtlCol="0" anchor="ctr"/>
        <a:lstStyle/>
        <a:p>
          <a:pPr algn="ctr"/>
          <a:r>
            <a:rPr lang="en-US" sz="2400" b="1">
              <a:solidFill>
                <a:schemeClr val="tx1"/>
              </a:solidFill>
            </a:rPr>
            <a:t>Instructions</a:t>
          </a:r>
        </a:p>
        <a:p>
          <a:pPr algn="ctr"/>
          <a:r>
            <a:rPr lang="en-US" sz="1200" b="1">
              <a:solidFill>
                <a:schemeClr val="tx1"/>
              </a:solidFill>
            </a:rPr>
            <a:t>Solve the following problem: As new data are entered and the list in columns B through J grows longer, how do you get the pension report (specifically, the cells beginning in columns P and Y containing the Last Name, First Name, Address, Phone, City, State, Zip, Plan and Balance data) to automatically display the last row of data as the data continues to grow? Send your solution</a:t>
          </a:r>
          <a:r>
            <a:rPr lang="en-US" sz="1200" b="1" baseline="0">
              <a:solidFill>
                <a:schemeClr val="tx1"/>
              </a:solidFill>
            </a:rPr>
            <a:t> to me at  </a:t>
          </a:r>
          <a:r>
            <a:rPr lang="en-US" sz="1200" b="1">
              <a:solidFill>
                <a:schemeClr val="tx1"/>
              </a:solidFill>
            </a:rPr>
            <a:t>J. Carlton Collins (carlton@asaresearch.com)  </a:t>
          </a:r>
          <a:endParaRPr lang="en-US" sz="1000"/>
        </a:p>
      </xdr:txBody>
    </xdr:sp>
    <xdr:clientData/>
  </xdr:twoCellAnchor>
  <xdr:twoCellAnchor>
    <xdr:from>
      <xdr:col>16</xdr:col>
      <xdr:colOff>0</xdr:colOff>
      <xdr:row>0</xdr:row>
      <xdr:rowOff>0</xdr:rowOff>
    </xdr:from>
    <xdr:to>
      <xdr:col>24</xdr:col>
      <xdr:colOff>38100</xdr:colOff>
      <xdr:row>1</xdr:row>
      <xdr:rowOff>57150</xdr:rowOff>
    </xdr:to>
    <xdr:sp macro="" textlink="">
      <xdr:nvSpPr>
        <xdr:cNvPr id="3" name="TextBox 2">
          <a:hlinkClick xmlns:r="http://schemas.openxmlformats.org/officeDocument/2006/relationships" r:id="rId1"/>
        </xdr:cNvPr>
        <xdr:cNvSpPr txBox="1"/>
      </xdr:nvSpPr>
      <xdr:spPr>
        <a:xfrm>
          <a:off x="9467850" y="0"/>
          <a:ext cx="2247900" cy="257175"/>
        </a:xfrm>
        <a:prstGeom prst="rect">
          <a:avLst/>
        </a:prstGeom>
        <a:solidFill>
          <a:srgbClr val="FF0000"/>
        </a:solidFill>
        <a:ln/>
        <a:scene3d>
          <a:camera prst="orthographicFront"/>
          <a:lightRig rig="threePt" dir="t"/>
        </a:scene3d>
        <a:sp3d>
          <a:bevelT/>
        </a:sp3d>
      </xdr:spPr>
      <xdr:style>
        <a:lnRef idx="0">
          <a:schemeClr val="accent1"/>
        </a:lnRef>
        <a:fillRef idx="3">
          <a:schemeClr val="accent1"/>
        </a:fillRef>
        <a:effectRef idx="3">
          <a:schemeClr val="accent1"/>
        </a:effectRef>
        <a:fontRef idx="minor">
          <a:schemeClr val="lt1"/>
        </a:fontRef>
      </xdr:style>
      <xdr:txBody>
        <a:bodyPr vertOverflow="clip" horzOverflow="clip" wrap="square" rtlCol="0" anchor="ctr"/>
        <a:lstStyle/>
        <a:p>
          <a:pPr algn="ctr"/>
          <a:r>
            <a:rPr lang="en-US" sz="1200" b="1"/>
            <a:t>Return to Summary Worksheet</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10</xdr:col>
      <xdr:colOff>276226</xdr:colOff>
      <xdr:row>17</xdr:row>
      <xdr:rowOff>161925</xdr:rowOff>
    </xdr:from>
    <xdr:to>
      <xdr:col>30</xdr:col>
      <xdr:colOff>257177</xdr:colOff>
      <xdr:row>27</xdr:row>
      <xdr:rowOff>66675</xdr:rowOff>
    </xdr:to>
    <xdr:sp macro="" textlink="">
      <xdr:nvSpPr>
        <xdr:cNvPr id="2" name="TextBox 1"/>
        <xdr:cNvSpPr txBox="1"/>
      </xdr:nvSpPr>
      <xdr:spPr>
        <a:xfrm>
          <a:off x="8201026" y="3581400"/>
          <a:ext cx="5514976" cy="1905000"/>
        </a:xfrm>
        <a:prstGeom prst="rect">
          <a:avLst/>
        </a:prstGeom>
        <a:ln>
          <a:solidFill>
            <a:sysClr val="windowText" lastClr="000000"/>
          </a:solidFill>
        </a:ln>
      </xdr:spPr>
      <xdr:style>
        <a:lnRef idx="0">
          <a:schemeClr val="accent1"/>
        </a:lnRef>
        <a:fillRef idx="3">
          <a:schemeClr val="accent1"/>
        </a:fillRef>
        <a:effectRef idx="3">
          <a:schemeClr val="accent1"/>
        </a:effectRef>
        <a:fontRef idx="minor">
          <a:schemeClr val="lt1"/>
        </a:fontRef>
      </xdr:style>
      <xdr:txBody>
        <a:bodyPr vertOverflow="clip" horzOverflow="clip" wrap="square" rtlCol="0" anchor="ctr"/>
        <a:lstStyle/>
        <a:p>
          <a:pPr algn="ctr"/>
          <a:r>
            <a:rPr lang="en-US" sz="2400" b="1">
              <a:solidFill>
                <a:schemeClr val="tx1"/>
              </a:solidFill>
            </a:rPr>
            <a:t>Instructions</a:t>
          </a:r>
        </a:p>
        <a:p>
          <a:pPr algn="ctr"/>
          <a:r>
            <a:rPr lang="en-US" sz="1200" b="1">
              <a:solidFill>
                <a:schemeClr val="tx1"/>
              </a:solidFill>
            </a:rPr>
            <a:t>Solve the following problem: As new data are entered and the list in columns B through J grows longer, how do you get the pension report (specifically, the cells beginning in columns P and Y containing the Last Name, First Name, Address, Phone, City, State, Zip, Plan and Balance data) to automatically display the last row of data as the data continues to grow? Send your solution</a:t>
          </a:r>
          <a:r>
            <a:rPr lang="en-US" sz="1200" b="1" baseline="0">
              <a:solidFill>
                <a:schemeClr val="tx1"/>
              </a:solidFill>
            </a:rPr>
            <a:t> to me at  </a:t>
          </a:r>
          <a:r>
            <a:rPr lang="en-US" sz="1200" b="1">
              <a:solidFill>
                <a:schemeClr val="tx1"/>
              </a:solidFill>
            </a:rPr>
            <a:t>J. Carlton Collins (carlton@asaresearch.com)  </a:t>
          </a:r>
          <a:endParaRPr lang="en-US" sz="1000"/>
        </a:p>
      </xdr:txBody>
    </xdr:sp>
    <xdr:clientData/>
  </xdr:twoCellAnchor>
  <xdr:twoCellAnchor>
    <xdr:from>
      <xdr:col>16</xdr:col>
      <xdr:colOff>0</xdr:colOff>
      <xdr:row>0</xdr:row>
      <xdr:rowOff>0</xdr:rowOff>
    </xdr:from>
    <xdr:to>
      <xdr:col>24</xdr:col>
      <xdr:colOff>38100</xdr:colOff>
      <xdr:row>1</xdr:row>
      <xdr:rowOff>57150</xdr:rowOff>
    </xdr:to>
    <xdr:sp macro="" textlink="">
      <xdr:nvSpPr>
        <xdr:cNvPr id="3" name="TextBox 2">
          <a:hlinkClick xmlns:r="http://schemas.openxmlformats.org/officeDocument/2006/relationships" r:id="rId1"/>
        </xdr:cNvPr>
        <xdr:cNvSpPr txBox="1"/>
      </xdr:nvSpPr>
      <xdr:spPr>
        <a:xfrm>
          <a:off x="9467850" y="0"/>
          <a:ext cx="2247900" cy="257175"/>
        </a:xfrm>
        <a:prstGeom prst="rect">
          <a:avLst/>
        </a:prstGeom>
        <a:solidFill>
          <a:srgbClr val="FF0000"/>
        </a:solidFill>
        <a:ln/>
        <a:scene3d>
          <a:camera prst="orthographicFront"/>
          <a:lightRig rig="threePt" dir="t"/>
        </a:scene3d>
        <a:sp3d>
          <a:bevelT/>
        </a:sp3d>
      </xdr:spPr>
      <xdr:style>
        <a:lnRef idx="0">
          <a:schemeClr val="accent1"/>
        </a:lnRef>
        <a:fillRef idx="3">
          <a:schemeClr val="accent1"/>
        </a:fillRef>
        <a:effectRef idx="3">
          <a:schemeClr val="accent1"/>
        </a:effectRef>
        <a:fontRef idx="minor">
          <a:schemeClr val="lt1"/>
        </a:fontRef>
      </xdr:style>
      <xdr:txBody>
        <a:bodyPr vertOverflow="clip" horzOverflow="clip" wrap="square" rtlCol="0" anchor="ctr"/>
        <a:lstStyle/>
        <a:p>
          <a:pPr algn="ctr"/>
          <a:r>
            <a:rPr lang="en-US" sz="1200" b="1"/>
            <a:t>Return to Summary Worksheet</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10</xdr:col>
      <xdr:colOff>276226</xdr:colOff>
      <xdr:row>17</xdr:row>
      <xdr:rowOff>161925</xdr:rowOff>
    </xdr:from>
    <xdr:to>
      <xdr:col>31</xdr:col>
      <xdr:colOff>0</xdr:colOff>
      <xdr:row>27</xdr:row>
      <xdr:rowOff>133350</xdr:rowOff>
    </xdr:to>
    <xdr:sp macro="" textlink="">
      <xdr:nvSpPr>
        <xdr:cNvPr id="2" name="TextBox 1"/>
        <xdr:cNvSpPr txBox="1"/>
      </xdr:nvSpPr>
      <xdr:spPr>
        <a:xfrm>
          <a:off x="8077201" y="3581400"/>
          <a:ext cx="5534024" cy="1971675"/>
        </a:xfrm>
        <a:prstGeom prst="rect">
          <a:avLst/>
        </a:prstGeom>
        <a:ln>
          <a:solidFill>
            <a:sysClr val="windowText" lastClr="000000"/>
          </a:solidFill>
        </a:ln>
      </xdr:spPr>
      <xdr:style>
        <a:lnRef idx="0">
          <a:schemeClr val="accent1"/>
        </a:lnRef>
        <a:fillRef idx="3">
          <a:schemeClr val="accent1"/>
        </a:fillRef>
        <a:effectRef idx="3">
          <a:schemeClr val="accent1"/>
        </a:effectRef>
        <a:fontRef idx="minor">
          <a:schemeClr val="lt1"/>
        </a:fontRef>
      </xdr:style>
      <xdr:txBody>
        <a:bodyPr vertOverflow="clip" horzOverflow="clip" wrap="square" rtlCol="0" anchor="ctr"/>
        <a:lstStyle/>
        <a:p>
          <a:pPr algn="ctr"/>
          <a:r>
            <a:rPr lang="en-US" sz="2400" b="1">
              <a:solidFill>
                <a:schemeClr val="tx1"/>
              </a:solidFill>
            </a:rPr>
            <a:t>Instructions</a:t>
          </a:r>
        </a:p>
        <a:p>
          <a:pPr algn="ctr"/>
          <a:r>
            <a:rPr lang="en-US" sz="1200" b="1">
              <a:solidFill>
                <a:schemeClr val="tx1"/>
              </a:solidFill>
            </a:rPr>
            <a:t>Solve the following problem: As new data are entered and the list in columns B through J grows longer, how do you get the pension report (specifically, the cells beginning in columns P and Y containing the Last Name, First Name, Address, Phone, City, State, Zip, Plan and Balance data) to automatically display the last row of data as the data continues to grow? Send your solution</a:t>
          </a:r>
          <a:r>
            <a:rPr lang="en-US" sz="1200" b="1" baseline="0">
              <a:solidFill>
                <a:schemeClr val="tx1"/>
              </a:solidFill>
            </a:rPr>
            <a:t> to me at  </a:t>
          </a:r>
          <a:r>
            <a:rPr lang="en-US" sz="1200" b="1">
              <a:solidFill>
                <a:schemeClr val="tx1"/>
              </a:solidFill>
            </a:rPr>
            <a:t>J. Carlton Collins (carlton@asaresearch.com)  </a:t>
          </a:r>
          <a:endParaRPr lang="en-US" sz="1000"/>
        </a:p>
      </xdr:txBody>
    </xdr:sp>
    <xdr:clientData/>
  </xdr:twoCellAnchor>
  <xdr:twoCellAnchor>
    <xdr:from>
      <xdr:col>16</xdr:col>
      <xdr:colOff>0</xdr:colOff>
      <xdr:row>0</xdr:row>
      <xdr:rowOff>0</xdr:rowOff>
    </xdr:from>
    <xdr:to>
      <xdr:col>24</xdr:col>
      <xdr:colOff>38100</xdr:colOff>
      <xdr:row>1</xdr:row>
      <xdr:rowOff>57150</xdr:rowOff>
    </xdr:to>
    <xdr:sp macro="" textlink="">
      <xdr:nvSpPr>
        <xdr:cNvPr id="3" name="TextBox 2">
          <a:hlinkClick xmlns:r="http://schemas.openxmlformats.org/officeDocument/2006/relationships" r:id="rId1"/>
        </xdr:cNvPr>
        <xdr:cNvSpPr txBox="1"/>
      </xdr:nvSpPr>
      <xdr:spPr>
        <a:xfrm>
          <a:off x="9467850" y="0"/>
          <a:ext cx="2247900" cy="257175"/>
        </a:xfrm>
        <a:prstGeom prst="rect">
          <a:avLst/>
        </a:prstGeom>
        <a:solidFill>
          <a:srgbClr val="FF0000"/>
        </a:solidFill>
        <a:ln/>
        <a:scene3d>
          <a:camera prst="orthographicFront"/>
          <a:lightRig rig="threePt" dir="t"/>
        </a:scene3d>
        <a:sp3d>
          <a:bevelT/>
        </a:sp3d>
      </xdr:spPr>
      <xdr:style>
        <a:lnRef idx="0">
          <a:schemeClr val="accent1"/>
        </a:lnRef>
        <a:fillRef idx="3">
          <a:schemeClr val="accent1"/>
        </a:fillRef>
        <a:effectRef idx="3">
          <a:schemeClr val="accent1"/>
        </a:effectRef>
        <a:fontRef idx="minor">
          <a:schemeClr val="lt1"/>
        </a:fontRef>
      </xdr:style>
      <xdr:txBody>
        <a:bodyPr vertOverflow="clip" horzOverflow="clip" wrap="square" rtlCol="0" anchor="ctr"/>
        <a:lstStyle/>
        <a:p>
          <a:pPr algn="ctr"/>
          <a:r>
            <a:rPr lang="en-US" sz="1200" b="1"/>
            <a:t>Return to Summary Worksheet</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11</xdr:col>
      <xdr:colOff>276226</xdr:colOff>
      <xdr:row>17</xdr:row>
      <xdr:rowOff>161925</xdr:rowOff>
    </xdr:from>
    <xdr:to>
      <xdr:col>32</xdr:col>
      <xdr:colOff>167640</xdr:colOff>
      <xdr:row>26</xdr:row>
      <xdr:rowOff>175260</xdr:rowOff>
    </xdr:to>
    <xdr:sp macro="" textlink="">
      <xdr:nvSpPr>
        <xdr:cNvPr id="2" name="TextBox 1"/>
        <xdr:cNvSpPr txBox="1"/>
      </xdr:nvSpPr>
      <xdr:spPr>
        <a:xfrm>
          <a:off x="8801101" y="3581400"/>
          <a:ext cx="5701664" cy="1813560"/>
        </a:xfrm>
        <a:prstGeom prst="rect">
          <a:avLst/>
        </a:prstGeom>
        <a:ln>
          <a:solidFill>
            <a:sysClr val="windowText" lastClr="000000"/>
          </a:solidFill>
        </a:ln>
      </xdr:spPr>
      <xdr:style>
        <a:lnRef idx="0">
          <a:schemeClr val="accent1"/>
        </a:lnRef>
        <a:fillRef idx="3">
          <a:schemeClr val="accent1"/>
        </a:fillRef>
        <a:effectRef idx="3">
          <a:schemeClr val="accent1"/>
        </a:effectRef>
        <a:fontRef idx="minor">
          <a:schemeClr val="lt1"/>
        </a:fontRef>
      </xdr:style>
      <xdr:txBody>
        <a:bodyPr vertOverflow="clip" horzOverflow="clip" wrap="square" rtlCol="0" anchor="ctr"/>
        <a:lstStyle/>
        <a:p>
          <a:pPr algn="ctr"/>
          <a:r>
            <a:rPr lang="en-US" sz="2400" b="1">
              <a:solidFill>
                <a:schemeClr val="tx1"/>
              </a:solidFill>
            </a:rPr>
            <a:t>Instructions</a:t>
          </a:r>
        </a:p>
        <a:p>
          <a:pPr algn="ctr"/>
          <a:r>
            <a:rPr lang="en-US" sz="1200" b="1">
              <a:solidFill>
                <a:schemeClr val="tx1"/>
              </a:solidFill>
            </a:rPr>
            <a:t>Solve the following problem: As new data are entered and the list in columns B through J grows longer, how do you get the pension report (specifically, the cells beginning in columns P and Y containing the Last Name, First Name, Address, Phone, City, State, Zip, Plan and Balance data) to automatically display the last row of data as the data continues to grow? Send your solution</a:t>
          </a:r>
          <a:r>
            <a:rPr lang="en-US" sz="1200" b="1" baseline="0">
              <a:solidFill>
                <a:schemeClr val="tx1"/>
              </a:solidFill>
            </a:rPr>
            <a:t> to me at  </a:t>
          </a:r>
          <a:r>
            <a:rPr lang="en-US" sz="1200" b="1">
              <a:solidFill>
                <a:schemeClr val="tx1"/>
              </a:solidFill>
            </a:rPr>
            <a:t>J. Carlton Collins (carlton@asaresearch.com)  </a:t>
          </a:r>
          <a:endParaRPr lang="en-US" sz="1000"/>
        </a:p>
      </xdr:txBody>
    </xdr:sp>
    <xdr:clientData/>
  </xdr:twoCellAnchor>
  <xdr:twoCellAnchor>
    <xdr:from>
      <xdr:col>16</xdr:col>
      <xdr:colOff>0</xdr:colOff>
      <xdr:row>0</xdr:row>
      <xdr:rowOff>0</xdr:rowOff>
    </xdr:from>
    <xdr:to>
      <xdr:col>24</xdr:col>
      <xdr:colOff>38100</xdr:colOff>
      <xdr:row>1</xdr:row>
      <xdr:rowOff>57150</xdr:rowOff>
    </xdr:to>
    <xdr:sp macro="" textlink="">
      <xdr:nvSpPr>
        <xdr:cNvPr id="3" name="TextBox 2">
          <a:hlinkClick xmlns:r="http://schemas.openxmlformats.org/officeDocument/2006/relationships" r:id="rId1"/>
        </xdr:cNvPr>
        <xdr:cNvSpPr txBox="1"/>
      </xdr:nvSpPr>
      <xdr:spPr>
        <a:xfrm>
          <a:off x="9915525" y="0"/>
          <a:ext cx="2247900" cy="257175"/>
        </a:xfrm>
        <a:prstGeom prst="rect">
          <a:avLst/>
        </a:prstGeom>
        <a:solidFill>
          <a:srgbClr val="FF0000"/>
        </a:solidFill>
        <a:ln/>
        <a:scene3d>
          <a:camera prst="orthographicFront"/>
          <a:lightRig rig="threePt" dir="t"/>
        </a:scene3d>
        <a:sp3d>
          <a:bevelT/>
        </a:sp3d>
      </xdr:spPr>
      <xdr:style>
        <a:lnRef idx="0">
          <a:schemeClr val="accent1"/>
        </a:lnRef>
        <a:fillRef idx="3">
          <a:schemeClr val="accent1"/>
        </a:fillRef>
        <a:effectRef idx="3">
          <a:schemeClr val="accent1"/>
        </a:effectRef>
        <a:fontRef idx="minor">
          <a:schemeClr val="lt1"/>
        </a:fontRef>
      </xdr:style>
      <xdr:txBody>
        <a:bodyPr vertOverflow="clip" horzOverflow="clip" wrap="square" rtlCol="0" anchor="ctr"/>
        <a:lstStyle/>
        <a:p>
          <a:pPr algn="ctr"/>
          <a:r>
            <a:rPr lang="en-US" sz="1200" b="1"/>
            <a:t>Return to Summary Worksheet</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10</xdr:col>
      <xdr:colOff>276226</xdr:colOff>
      <xdr:row>17</xdr:row>
      <xdr:rowOff>161925</xdr:rowOff>
    </xdr:from>
    <xdr:to>
      <xdr:col>30</xdr:col>
      <xdr:colOff>257177</xdr:colOff>
      <xdr:row>25</xdr:row>
      <xdr:rowOff>133350</xdr:rowOff>
    </xdr:to>
    <xdr:sp macro="" textlink="">
      <xdr:nvSpPr>
        <xdr:cNvPr id="2" name="TextBox 1"/>
        <xdr:cNvSpPr txBox="1"/>
      </xdr:nvSpPr>
      <xdr:spPr>
        <a:xfrm>
          <a:off x="8086726" y="3581400"/>
          <a:ext cx="5524501" cy="1571625"/>
        </a:xfrm>
        <a:prstGeom prst="rect">
          <a:avLst/>
        </a:prstGeom>
        <a:ln>
          <a:solidFill>
            <a:sysClr val="windowText" lastClr="000000"/>
          </a:solidFill>
        </a:ln>
      </xdr:spPr>
      <xdr:style>
        <a:lnRef idx="0">
          <a:schemeClr val="accent1"/>
        </a:lnRef>
        <a:fillRef idx="3">
          <a:schemeClr val="accent1"/>
        </a:fillRef>
        <a:effectRef idx="3">
          <a:schemeClr val="accent1"/>
        </a:effectRef>
        <a:fontRef idx="minor">
          <a:schemeClr val="lt1"/>
        </a:fontRef>
      </xdr:style>
      <xdr:txBody>
        <a:bodyPr vertOverflow="clip" horzOverflow="clip" wrap="square" rtlCol="0" anchor="ctr"/>
        <a:lstStyle/>
        <a:p>
          <a:pPr algn="ctr"/>
          <a:r>
            <a:rPr lang="en-US" sz="2400" b="1">
              <a:solidFill>
                <a:schemeClr val="tx1"/>
              </a:solidFill>
            </a:rPr>
            <a:t>Instructions</a:t>
          </a:r>
        </a:p>
        <a:p>
          <a:pPr algn="ctr"/>
          <a:r>
            <a:rPr lang="en-US" sz="1200" b="1">
              <a:solidFill>
                <a:schemeClr val="tx1"/>
              </a:solidFill>
            </a:rPr>
            <a:t>Solve the following problem: As new data are entered and the list in columns B through J grows longer, how do you get the pension report (specifically, the cells beginning in columns P and Y containing the Last Name, First Name, Address, Phone, City, State, Zip, Plan and Balance data) to automatically display the last row of data as the data continues to grow? Send your solution</a:t>
          </a:r>
          <a:r>
            <a:rPr lang="en-US" sz="1200" b="1" baseline="0">
              <a:solidFill>
                <a:schemeClr val="tx1"/>
              </a:solidFill>
            </a:rPr>
            <a:t> to me at  </a:t>
          </a:r>
          <a:r>
            <a:rPr lang="en-US" sz="1200" b="1">
              <a:solidFill>
                <a:schemeClr val="tx1"/>
              </a:solidFill>
            </a:rPr>
            <a:t>J. Carlton Collins (carlton@asaresearch.com)  </a:t>
          </a:r>
          <a:endParaRPr lang="en-US" sz="1000"/>
        </a:p>
      </xdr:txBody>
    </xdr:sp>
    <xdr:clientData/>
  </xdr:twoCellAnchor>
  <xdr:twoCellAnchor>
    <xdr:from>
      <xdr:col>17</xdr:col>
      <xdr:colOff>0</xdr:colOff>
      <xdr:row>0</xdr:row>
      <xdr:rowOff>0</xdr:rowOff>
    </xdr:from>
    <xdr:to>
      <xdr:col>25</xdr:col>
      <xdr:colOff>38100</xdr:colOff>
      <xdr:row>1</xdr:row>
      <xdr:rowOff>57150</xdr:rowOff>
    </xdr:to>
    <xdr:sp macro="" textlink="">
      <xdr:nvSpPr>
        <xdr:cNvPr id="3" name="TextBox 2">
          <a:hlinkClick xmlns:r="http://schemas.openxmlformats.org/officeDocument/2006/relationships" r:id="rId1"/>
        </xdr:cNvPr>
        <xdr:cNvSpPr txBox="1"/>
      </xdr:nvSpPr>
      <xdr:spPr>
        <a:xfrm>
          <a:off x="9763125" y="0"/>
          <a:ext cx="2247900" cy="257175"/>
        </a:xfrm>
        <a:prstGeom prst="rect">
          <a:avLst/>
        </a:prstGeom>
        <a:solidFill>
          <a:srgbClr val="FF0000"/>
        </a:solidFill>
        <a:ln/>
        <a:scene3d>
          <a:camera prst="orthographicFront"/>
          <a:lightRig rig="threePt" dir="t"/>
        </a:scene3d>
        <a:sp3d>
          <a:bevelT/>
        </a:sp3d>
      </xdr:spPr>
      <xdr:style>
        <a:lnRef idx="0">
          <a:schemeClr val="accent1"/>
        </a:lnRef>
        <a:fillRef idx="3">
          <a:schemeClr val="accent1"/>
        </a:fillRef>
        <a:effectRef idx="3">
          <a:schemeClr val="accent1"/>
        </a:effectRef>
        <a:fontRef idx="minor">
          <a:schemeClr val="lt1"/>
        </a:fontRef>
      </xdr:style>
      <xdr:txBody>
        <a:bodyPr vertOverflow="clip" horzOverflow="clip" wrap="square" rtlCol="0" anchor="ctr"/>
        <a:lstStyle/>
        <a:p>
          <a:pPr algn="ctr"/>
          <a:r>
            <a:rPr lang="en-US" sz="1200" b="1"/>
            <a:t>Return to Summary Worksheet</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10</xdr:col>
      <xdr:colOff>276226</xdr:colOff>
      <xdr:row>17</xdr:row>
      <xdr:rowOff>161925</xdr:rowOff>
    </xdr:from>
    <xdr:to>
      <xdr:col>20</xdr:col>
      <xdr:colOff>257177</xdr:colOff>
      <xdr:row>25</xdr:row>
      <xdr:rowOff>133350</xdr:rowOff>
    </xdr:to>
    <xdr:sp macro="" textlink="">
      <xdr:nvSpPr>
        <xdr:cNvPr id="2" name="TextBox 1"/>
        <xdr:cNvSpPr txBox="1"/>
      </xdr:nvSpPr>
      <xdr:spPr>
        <a:xfrm>
          <a:off x="8077201" y="3581400"/>
          <a:ext cx="5514976" cy="1571625"/>
        </a:xfrm>
        <a:prstGeom prst="rect">
          <a:avLst/>
        </a:prstGeom>
        <a:ln>
          <a:solidFill>
            <a:sysClr val="windowText" lastClr="000000"/>
          </a:solidFill>
        </a:ln>
      </xdr:spPr>
      <xdr:style>
        <a:lnRef idx="0">
          <a:schemeClr val="accent1"/>
        </a:lnRef>
        <a:fillRef idx="3">
          <a:schemeClr val="accent1"/>
        </a:fillRef>
        <a:effectRef idx="3">
          <a:schemeClr val="accent1"/>
        </a:effectRef>
        <a:fontRef idx="minor">
          <a:schemeClr val="lt1"/>
        </a:fontRef>
      </xdr:style>
      <xdr:txBody>
        <a:bodyPr vertOverflow="clip" horzOverflow="clip" wrap="square" rtlCol="0" anchor="ctr"/>
        <a:lstStyle/>
        <a:p>
          <a:pPr algn="ctr"/>
          <a:r>
            <a:rPr lang="en-US" sz="2400" b="1">
              <a:solidFill>
                <a:schemeClr val="tx1"/>
              </a:solidFill>
            </a:rPr>
            <a:t>Instructions</a:t>
          </a:r>
        </a:p>
        <a:p>
          <a:pPr algn="ctr"/>
          <a:r>
            <a:rPr lang="en-US" sz="1200" b="1">
              <a:solidFill>
                <a:schemeClr val="tx1"/>
              </a:solidFill>
            </a:rPr>
            <a:t>Solve the following problem: As new data are entered and the list in columns B through J grows longer, how do you get the pension report (specifically, the cells beginning in columns P and Y containing the Last Name, First Name, Address, Phone, City, State, Zip, Plan and Balance data) to automatically display the last row of data as the data continues to grow? Send your solution</a:t>
          </a:r>
          <a:r>
            <a:rPr lang="en-US" sz="1200" b="1" baseline="0">
              <a:solidFill>
                <a:schemeClr val="tx1"/>
              </a:solidFill>
            </a:rPr>
            <a:t> to me at  </a:t>
          </a:r>
          <a:r>
            <a:rPr lang="en-US" sz="1200" b="1">
              <a:solidFill>
                <a:schemeClr val="tx1"/>
              </a:solidFill>
            </a:rPr>
            <a:t>J. Carlton Collins (carlton@asaresearch.com)  </a:t>
          </a:r>
          <a:endParaRPr lang="en-US" sz="1000"/>
        </a:p>
      </xdr:txBody>
    </xdr:sp>
    <xdr:clientData/>
  </xdr:twoCellAnchor>
  <xdr:twoCellAnchor>
    <xdr:from>
      <xdr:col>15</xdr:col>
      <xdr:colOff>0</xdr:colOff>
      <xdr:row>0</xdr:row>
      <xdr:rowOff>0</xdr:rowOff>
    </xdr:from>
    <xdr:to>
      <xdr:col>18</xdr:col>
      <xdr:colOff>38100</xdr:colOff>
      <xdr:row>1</xdr:row>
      <xdr:rowOff>57150</xdr:rowOff>
    </xdr:to>
    <xdr:sp macro="" textlink="">
      <xdr:nvSpPr>
        <xdr:cNvPr id="3" name="TextBox 2">
          <a:hlinkClick xmlns:r="http://schemas.openxmlformats.org/officeDocument/2006/relationships" r:id="rId1"/>
        </xdr:cNvPr>
        <xdr:cNvSpPr txBox="1"/>
      </xdr:nvSpPr>
      <xdr:spPr>
        <a:xfrm>
          <a:off x="9191625" y="0"/>
          <a:ext cx="2247900" cy="257175"/>
        </a:xfrm>
        <a:prstGeom prst="rect">
          <a:avLst/>
        </a:prstGeom>
        <a:solidFill>
          <a:srgbClr val="FF0000"/>
        </a:solidFill>
        <a:ln/>
        <a:scene3d>
          <a:camera prst="orthographicFront"/>
          <a:lightRig rig="threePt" dir="t"/>
        </a:scene3d>
        <a:sp3d>
          <a:bevelT/>
        </a:sp3d>
      </xdr:spPr>
      <xdr:style>
        <a:lnRef idx="0">
          <a:schemeClr val="accent1"/>
        </a:lnRef>
        <a:fillRef idx="3">
          <a:schemeClr val="accent1"/>
        </a:fillRef>
        <a:effectRef idx="3">
          <a:schemeClr val="accent1"/>
        </a:effectRef>
        <a:fontRef idx="minor">
          <a:schemeClr val="lt1"/>
        </a:fontRef>
      </xdr:style>
      <xdr:txBody>
        <a:bodyPr vertOverflow="clip" horzOverflow="clip" wrap="square" rtlCol="0" anchor="ctr"/>
        <a:lstStyle/>
        <a:p>
          <a:pPr algn="ctr"/>
          <a:r>
            <a:rPr lang="en-US" sz="1200" b="1"/>
            <a:t>Return to Summary Worksheet</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10</xdr:col>
      <xdr:colOff>276226</xdr:colOff>
      <xdr:row>17</xdr:row>
      <xdr:rowOff>161925</xdr:rowOff>
    </xdr:from>
    <xdr:to>
      <xdr:col>30</xdr:col>
      <xdr:colOff>257177</xdr:colOff>
      <xdr:row>25</xdr:row>
      <xdr:rowOff>133350</xdr:rowOff>
    </xdr:to>
    <xdr:sp macro="" textlink="">
      <xdr:nvSpPr>
        <xdr:cNvPr id="2" name="TextBox 1"/>
        <xdr:cNvSpPr txBox="1"/>
      </xdr:nvSpPr>
      <xdr:spPr>
        <a:xfrm>
          <a:off x="8077201" y="3581400"/>
          <a:ext cx="5514976" cy="1571625"/>
        </a:xfrm>
        <a:prstGeom prst="rect">
          <a:avLst/>
        </a:prstGeom>
        <a:ln>
          <a:solidFill>
            <a:sysClr val="windowText" lastClr="000000"/>
          </a:solidFill>
        </a:ln>
      </xdr:spPr>
      <xdr:style>
        <a:lnRef idx="0">
          <a:schemeClr val="accent1"/>
        </a:lnRef>
        <a:fillRef idx="3">
          <a:schemeClr val="accent1"/>
        </a:fillRef>
        <a:effectRef idx="3">
          <a:schemeClr val="accent1"/>
        </a:effectRef>
        <a:fontRef idx="minor">
          <a:schemeClr val="lt1"/>
        </a:fontRef>
      </xdr:style>
      <xdr:txBody>
        <a:bodyPr vertOverflow="clip" horzOverflow="clip" wrap="square" rtlCol="0" anchor="ctr"/>
        <a:lstStyle/>
        <a:p>
          <a:pPr algn="ctr"/>
          <a:r>
            <a:rPr lang="en-US" sz="2400" b="1">
              <a:solidFill>
                <a:schemeClr val="tx1"/>
              </a:solidFill>
            </a:rPr>
            <a:t>Instructions</a:t>
          </a:r>
        </a:p>
        <a:p>
          <a:pPr algn="ctr"/>
          <a:r>
            <a:rPr lang="en-US" sz="1200" b="1">
              <a:solidFill>
                <a:schemeClr val="tx1"/>
              </a:solidFill>
            </a:rPr>
            <a:t>Solve the following problem: As new data are entered and the list in columns B through J grows longer, how do you get the pension report (specifically, the cells beginning in columns P and Y containing the Last Name, First Name, Address, Phone, City, State, Zip, Plan and Balance data) to automatically display the last row of data as the data continues to grow? Send your solution</a:t>
          </a:r>
          <a:r>
            <a:rPr lang="en-US" sz="1200" b="1" baseline="0">
              <a:solidFill>
                <a:schemeClr val="tx1"/>
              </a:solidFill>
            </a:rPr>
            <a:t> to me at  </a:t>
          </a:r>
          <a:r>
            <a:rPr lang="en-US" sz="1200" b="1">
              <a:solidFill>
                <a:schemeClr val="tx1"/>
              </a:solidFill>
            </a:rPr>
            <a:t>J. Carlton Collins (carlton@asaresearch.com)  </a:t>
          </a:r>
          <a:endParaRPr lang="en-US" sz="1000"/>
        </a:p>
      </xdr:txBody>
    </xdr:sp>
    <xdr:clientData/>
  </xdr:twoCellAnchor>
  <xdr:twoCellAnchor>
    <xdr:from>
      <xdr:col>17</xdr:col>
      <xdr:colOff>0</xdr:colOff>
      <xdr:row>0</xdr:row>
      <xdr:rowOff>0</xdr:rowOff>
    </xdr:from>
    <xdr:to>
      <xdr:col>25</xdr:col>
      <xdr:colOff>38100</xdr:colOff>
      <xdr:row>1</xdr:row>
      <xdr:rowOff>57150</xdr:rowOff>
    </xdr:to>
    <xdr:sp macro="" textlink="">
      <xdr:nvSpPr>
        <xdr:cNvPr id="3" name="TextBox 2">
          <a:hlinkClick xmlns:r="http://schemas.openxmlformats.org/officeDocument/2006/relationships" r:id="rId1"/>
        </xdr:cNvPr>
        <xdr:cNvSpPr txBox="1"/>
      </xdr:nvSpPr>
      <xdr:spPr>
        <a:xfrm>
          <a:off x="9744075" y="0"/>
          <a:ext cx="2247900" cy="257175"/>
        </a:xfrm>
        <a:prstGeom prst="rect">
          <a:avLst/>
        </a:prstGeom>
        <a:solidFill>
          <a:srgbClr val="FF0000"/>
        </a:solidFill>
        <a:ln/>
        <a:scene3d>
          <a:camera prst="orthographicFront"/>
          <a:lightRig rig="threePt" dir="t"/>
        </a:scene3d>
        <a:sp3d>
          <a:bevelT/>
        </a:sp3d>
      </xdr:spPr>
      <xdr:style>
        <a:lnRef idx="0">
          <a:schemeClr val="accent1"/>
        </a:lnRef>
        <a:fillRef idx="3">
          <a:schemeClr val="accent1"/>
        </a:fillRef>
        <a:effectRef idx="3">
          <a:schemeClr val="accent1"/>
        </a:effectRef>
        <a:fontRef idx="minor">
          <a:schemeClr val="lt1"/>
        </a:fontRef>
      </xdr:style>
      <xdr:txBody>
        <a:bodyPr vertOverflow="clip" horzOverflow="clip" wrap="square" rtlCol="0" anchor="ctr"/>
        <a:lstStyle/>
        <a:p>
          <a:pPr algn="ctr"/>
          <a:r>
            <a:rPr lang="en-US" sz="1200" b="1"/>
            <a:t>Return to Summary Worksheet</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10</xdr:col>
      <xdr:colOff>276226</xdr:colOff>
      <xdr:row>17</xdr:row>
      <xdr:rowOff>161925</xdr:rowOff>
    </xdr:from>
    <xdr:to>
      <xdr:col>30</xdr:col>
      <xdr:colOff>257177</xdr:colOff>
      <xdr:row>25</xdr:row>
      <xdr:rowOff>133350</xdr:rowOff>
    </xdr:to>
    <xdr:sp macro="" textlink="">
      <xdr:nvSpPr>
        <xdr:cNvPr id="2" name="TextBox 1"/>
        <xdr:cNvSpPr txBox="1"/>
      </xdr:nvSpPr>
      <xdr:spPr>
        <a:xfrm>
          <a:off x="9058276" y="3581400"/>
          <a:ext cx="7343776" cy="1571625"/>
        </a:xfrm>
        <a:prstGeom prst="rect">
          <a:avLst/>
        </a:prstGeom>
        <a:ln>
          <a:solidFill>
            <a:sysClr val="windowText" lastClr="000000"/>
          </a:solidFill>
        </a:ln>
      </xdr:spPr>
      <xdr:style>
        <a:lnRef idx="0">
          <a:schemeClr val="accent1"/>
        </a:lnRef>
        <a:fillRef idx="3">
          <a:schemeClr val="accent1"/>
        </a:fillRef>
        <a:effectRef idx="3">
          <a:schemeClr val="accent1"/>
        </a:effectRef>
        <a:fontRef idx="minor">
          <a:schemeClr val="lt1"/>
        </a:fontRef>
      </xdr:style>
      <xdr:txBody>
        <a:bodyPr vertOverflow="clip" horzOverflow="clip" wrap="square" rtlCol="0" anchor="ctr"/>
        <a:lstStyle/>
        <a:p>
          <a:pPr algn="ctr"/>
          <a:r>
            <a:rPr lang="en-US" sz="2400" b="1">
              <a:solidFill>
                <a:schemeClr val="tx1"/>
              </a:solidFill>
            </a:rPr>
            <a:t>Instructions</a:t>
          </a:r>
        </a:p>
        <a:p>
          <a:pPr algn="ctr"/>
          <a:r>
            <a:rPr lang="en-US" sz="1200" b="1">
              <a:solidFill>
                <a:schemeClr val="tx1"/>
              </a:solidFill>
            </a:rPr>
            <a:t>Solve the following problem: As new data are entered and the list in columns B through J grows longer, how do you get the pension report (specifically, the cells beginning in columns P and Y containing the Last Name, First Name, Address, Phone, City, State, Zip, Plan and Balance data) to automatically display the last row of data as the data continues to grow? Send your solution</a:t>
          </a:r>
          <a:r>
            <a:rPr lang="en-US" sz="1200" b="1" baseline="0">
              <a:solidFill>
                <a:schemeClr val="tx1"/>
              </a:solidFill>
            </a:rPr>
            <a:t> to me at  </a:t>
          </a:r>
          <a:r>
            <a:rPr lang="en-US" sz="1200" b="1">
              <a:solidFill>
                <a:schemeClr val="tx1"/>
              </a:solidFill>
            </a:rPr>
            <a:t>J. Carlton Collins (carlton@asaresearch.com)  </a:t>
          </a:r>
          <a:endParaRPr lang="en-US" sz="1000"/>
        </a:p>
      </xdr:txBody>
    </xdr:sp>
    <xdr:clientData/>
  </xdr:twoCellAnchor>
  <xdr:twoCellAnchor>
    <xdr:from>
      <xdr:col>16</xdr:col>
      <xdr:colOff>0</xdr:colOff>
      <xdr:row>0</xdr:row>
      <xdr:rowOff>0</xdr:rowOff>
    </xdr:from>
    <xdr:to>
      <xdr:col>24</xdr:col>
      <xdr:colOff>38100</xdr:colOff>
      <xdr:row>1</xdr:row>
      <xdr:rowOff>57150</xdr:rowOff>
    </xdr:to>
    <xdr:sp macro="" textlink="">
      <xdr:nvSpPr>
        <xdr:cNvPr id="3" name="TextBox 2">
          <a:hlinkClick xmlns:r="http://schemas.openxmlformats.org/officeDocument/2006/relationships" r:id="rId1"/>
        </xdr:cNvPr>
        <xdr:cNvSpPr txBox="1"/>
      </xdr:nvSpPr>
      <xdr:spPr>
        <a:xfrm>
          <a:off x="9467850" y="0"/>
          <a:ext cx="2247900" cy="257175"/>
        </a:xfrm>
        <a:prstGeom prst="rect">
          <a:avLst/>
        </a:prstGeom>
        <a:solidFill>
          <a:srgbClr val="FF0000"/>
        </a:solidFill>
        <a:ln/>
        <a:scene3d>
          <a:camera prst="orthographicFront"/>
          <a:lightRig rig="threePt" dir="t"/>
        </a:scene3d>
        <a:sp3d>
          <a:bevelT/>
        </a:sp3d>
      </xdr:spPr>
      <xdr:style>
        <a:lnRef idx="0">
          <a:schemeClr val="accent1"/>
        </a:lnRef>
        <a:fillRef idx="3">
          <a:schemeClr val="accent1"/>
        </a:fillRef>
        <a:effectRef idx="3">
          <a:schemeClr val="accent1"/>
        </a:effectRef>
        <a:fontRef idx="minor">
          <a:schemeClr val="lt1"/>
        </a:fontRef>
      </xdr:style>
      <xdr:txBody>
        <a:bodyPr vertOverflow="clip" horzOverflow="clip" wrap="square" rtlCol="0" anchor="ctr"/>
        <a:lstStyle/>
        <a:p>
          <a:pPr algn="ctr"/>
          <a:r>
            <a:rPr lang="en-US" sz="1200" b="1"/>
            <a:t>Return to Summary Worksheet</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10</xdr:col>
      <xdr:colOff>276226</xdr:colOff>
      <xdr:row>17</xdr:row>
      <xdr:rowOff>161925</xdr:rowOff>
    </xdr:from>
    <xdr:to>
      <xdr:col>30</xdr:col>
      <xdr:colOff>257177</xdr:colOff>
      <xdr:row>25</xdr:row>
      <xdr:rowOff>133350</xdr:rowOff>
    </xdr:to>
    <xdr:sp macro="" textlink="">
      <xdr:nvSpPr>
        <xdr:cNvPr id="2" name="TextBox 1"/>
        <xdr:cNvSpPr txBox="1"/>
      </xdr:nvSpPr>
      <xdr:spPr>
        <a:xfrm>
          <a:off x="8286751" y="3581400"/>
          <a:ext cx="5514976" cy="1571625"/>
        </a:xfrm>
        <a:prstGeom prst="rect">
          <a:avLst/>
        </a:prstGeom>
        <a:ln>
          <a:solidFill>
            <a:sysClr val="windowText" lastClr="000000"/>
          </a:solidFill>
        </a:ln>
      </xdr:spPr>
      <xdr:style>
        <a:lnRef idx="0">
          <a:schemeClr val="accent1"/>
        </a:lnRef>
        <a:fillRef idx="3">
          <a:schemeClr val="accent1"/>
        </a:fillRef>
        <a:effectRef idx="3">
          <a:schemeClr val="accent1"/>
        </a:effectRef>
        <a:fontRef idx="minor">
          <a:schemeClr val="lt1"/>
        </a:fontRef>
      </xdr:style>
      <xdr:txBody>
        <a:bodyPr vertOverflow="clip" horzOverflow="clip" wrap="square" rtlCol="0" anchor="ctr"/>
        <a:lstStyle/>
        <a:p>
          <a:pPr algn="ctr"/>
          <a:r>
            <a:rPr lang="en-US" sz="2400" b="1">
              <a:solidFill>
                <a:schemeClr val="tx1"/>
              </a:solidFill>
            </a:rPr>
            <a:t>Instructions</a:t>
          </a:r>
        </a:p>
        <a:p>
          <a:pPr algn="ctr"/>
          <a:r>
            <a:rPr lang="en-US" sz="1200" b="1">
              <a:solidFill>
                <a:schemeClr val="tx1"/>
              </a:solidFill>
            </a:rPr>
            <a:t>Solve the following problem: As new data are entered and the list in columns B through J grows longer, how do you get the pension report (specifically, the cells beginning in columns P and Y containing the Last Name, First Name, Address, Phone, City, State, Zip, Plan and Balance data) to automatically display the last row of data as the data continues to grow? Send your solution</a:t>
          </a:r>
          <a:r>
            <a:rPr lang="en-US" sz="1200" b="1" baseline="0">
              <a:solidFill>
                <a:schemeClr val="tx1"/>
              </a:solidFill>
            </a:rPr>
            <a:t> to me at  </a:t>
          </a:r>
          <a:r>
            <a:rPr lang="en-US" sz="1200" b="1">
              <a:solidFill>
                <a:schemeClr val="tx1"/>
              </a:solidFill>
            </a:rPr>
            <a:t>J. Carlton Collins (carlton@asaresearch.com)  </a:t>
          </a:r>
          <a:endParaRPr lang="en-US" sz="1000"/>
        </a:p>
      </xdr:txBody>
    </xdr:sp>
    <xdr:clientData/>
  </xdr:twoCellAnchor>
  <xdr:twoCellAnchor>
    <xdr:from>
      <xdr:col>16</xdr:col>
      <xdr:colOff>0</xdr:colOff>
      <xdr:row>0</xdr:row>
      <xdr:rowOff>0</xdr:rowOff>
    </xdr:from>
    <xdr:to>
      <xdr:col>24</xdr:col>
      <xdr:colOff>38100</xdr:colOff>
      <xdr:row>1</xdr:row>
      <xdr:rowOff>57150</xdr:rowOff>
    </xdr:to>
    <xdr:sp macro="" textlink="">
      <xdr:nvSpPr>
        <xdr:cNvPr id="3" name="TextBox 2">
          <a:hlinkClick xmlns:r="http://schemas.openxmlformats.org/officeDocument/2006/relationships" r:id="rId1"/>
        </xdr:cNvPr>
        <xdr:cNvSpPr txBox="1"/>
      </xdr:nvSpPr>
      <xdr:spPr>
        <a:xfrm>
          <a:off x="9467850" y="0"/>
          <a:ext cx="2247900" cy="257175"/>
        </a:xfrm>
        <a:prstGeom prst="rect">
          <a:avLst/>
        </a:prstGeom>
        <a:solidFill>
          <a:srgbClr val="FF0000"/>
        </a:solidFill>
        <a:ln/>
        <a:scene3d>
          <a:camera prst="orthographicFront"/>
          <a:lightRig rig="threePt" dir="t"/>
        </a:scene3d>
        <a:sp3d>
          <a:bevelT/>
        </a:sp3d>
      </xdr:spPr>
      <xdr:style>
        <a:lnRef idx="0">
          <a:schemeClr val="accent1"/>
        </a:lnRef>
        <a:fillRef idx="3">
          <a:schemeClr val="accent1"/>
        </a:fillRef>
        <a:effectRef idx="3">
          <a:schemeClr val="accent1"/>
        </a:effectRef>
        <a:fontRef idx="minor">
          <a:schemeClr val="lt1"/>
        </a:fontRef>
      </xdr:style>
      <xdr:txBody>
        <a:bodyPr vertOverflow="clip" horzOverflow="clip" wrap="square" rtlCol="0" anchor="ctr"/>
        <a:lstStyle/>
        <a:p>
          <a:pPr algn="ctr"/>
          <a:r>
            <a:rPr lang="en-US" sz="1200" b="1"/>
            <a:t>Return to Summary Worksheet</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11</xdr:col>
      <xdr:colOff>276226</xdr:colOff>
      <xdr:row>17</xdr:row>
      <xdr:rowOff>161925</xdr:rowOff>
    </xdr:from>
    <xdr:to>
      <xdr:col>31</xdr:col>
      <xdr:colOff>257177</xdr:colOff>
      <xdr:row>25</xdr:row>
      <xdr:rowOff>133350</xdr:rowOff>
    </xdr:to>
    <xdr:sp macro="" textlink="">
      <xdr:nvSpPr>
        <xdr:cNvPr id="2" name="TextBox 1"/>
        <xdr:cNvSpPr txBox="1"/>
      </xdr:nvSpPr>
      <xdr:spPr>
        <a:xfrm>
          <a:off x="8134351" y="3581400"/>
          <a:ext cx="5514976" cy="1571625"/>
        </a:xfrm>
        <a:prstGeom prst="rect">
          <a:avLst/>
        </a:prstGeom>
        <a:ln>
          <a:solidFill>
            <a:sysClr val="windowText" lastClr="000000"/>
          </a:solidFill>
        </a:ln>
      </xdr:spPr>
      <xdr:style>
        <a:lnRef idx="0">
          <a:schemeClr val="accent1"/>
        </a:lnRef>
        <a:fillRef idx="3">
          <a:schemeClr val="accent1"/>
        </a:fillRef>
        <a:effectRef idx="3">
          <a:schemeClr val="accent1"/>
        </a:effectRef>
        <a:fontRef idx="minor">
          <a:schemeClr val="lt1"/>
        </a:fontRef>
      </xdr:style>
      <xdr:txBody>
        <a:bodyPr vertOverflow="clip" horzOverflow="clip" wrap="square" rtlCol="0" anchor="ctr"/>
        <a:lstStyle/>
        <a:p>
          <a:pPr algn="ctr"/>
          <a:r>
            <a:rPr lang="en-US" sz="2400" b="1">
              <a:solidFill>
                <a:schemeClr val="tx1"/>
              </a:solidFill>
            </a:rPr>
            <a:t>Instructions</a:t>
          </a:r>
        </a:p>
        <a:p>
          <a:pPr algn="ctr"/>
          <a:r>
            <a:rPr lang="en-US" sz="1200" b="1">
              <a:solidFill>
                <a:schemeClr val="tx1"/>
              </a:solidFill>
            </a:rPr>
            <a:t>Solve the following problem: As new data are entered and the list in columns B through J grows longer, how do you get the pension report (specifically, the cells beginning in columns P and Y containing the Last Name, First Name, Address, Phone, City, State, Zip, Plan and Balance data) to automatically display the last row of data as the data continues to grow? Send your solution</a:t>
          </a:r>
          <a:r>
            <a:rPr lang="en-US" sz="1200" b="1" baseline="0">
              <a:solidFill>
                <a:schemeClr val="tx1"/>
              </a:solidFill>
            </a:rPr>
            <a:t> to me at  </a:t>
          </a:r>
          <a:r>
            <a:rPr lang="en-US" sz="1200" b="1">
              <a:solidFill>
                <a:schemeClr val="tx1"/>
              </a:solidFill>
            </a:rPr>
            <a:t>J. Carlton Collins (carlton@asaresearch.com)  </a:t>
          </a:r>
          <a:endParaRPr lang="en-US" sz="1000"/>
        </a:p>
      </xdr:txBody>
    </xdr:sp>
    <xdr:clientData/>
  </xdr:twoCellAnchor>
  <xdr:twoCellAnchor>
    <xdr:from>
      <xdr:col>16</xdr:col>
      <xdr:colOff>0</xdr:colOff>
      <xdr:row>0</xdr:row>
      <xdr:rowOff>0</xdr:rowOff>
    </xdr:from>
    <xdr:to>
      <xdr:col>24</xdr:col>
      <xdr:colOff>38100</xdr:colOff>
      <xdr:row>1</xdr:row>
      <xdr:rowOff>57150</xdr:rowOff>
    </xdr:to>
    <xdr:sp macro="" textlink="">
      <xdr:nvSpPr>
        <xdr:cNvPr id="3" name="TextBox 2">
          <a:hlinkClick xmlns:r="http://schemas.openxmlformats.org/officeDocument/2006/relationships" r:id="rId1"/>
        </xdr:cNvPr>
        <xdr:cNvSpPr txBox="1"/>
      </xdr:nvSpPr>
      <xdr:spPr>
        <a:xfrm>
          <a:off x="9248775" y="0"/>
          <a:ext cx="2247900" cy="257175"/>
        </a:xfrm>
        <a:prstGeom prst="rect">
          <a:avLst/>
        </a:prstGeom>
        <a:solidFill>
          <a:srgbClr val="FF0000"/>
        </a:solidFill>
        <a:ln/>
        <a:scene3d>
          <a:camera prst="orthographicFront"/>
          <a:lightRig rig="threePt" dir="t"/>
        </a:scene3d>
        <a:sp3d>
          <a:bevelT/>
        </a:sp3d>
      </xdr:spPr>
      <xdr:style>
        <a:lnRef idx="0">
          <a:schemeClr val="accent1"/>
        </a:lnRef>
        <a:fillRef idx="3">
          <a:schemeClr val="accent1"/>
        </a:fillRef>
        <a:effectRef idx="3">
          <a:schemeClr val="accent1"/>
        </a:effectRef>
        <a:fontRef idx="minor">
          <a:schemeClr val="lt1"/>
        </a:fontRef>
      </xdr:style>
      <xdr:txBody>
        <a:bodyPr vertOverflow="clip" horzOverflow="clip" wrap="square" rtlCol="0" anchor="ctr"/>
        <a:lstStyle/>
        <a:p>
          <a:pPr algn="ctr"/>
          <a:r>
            <a:rPr lang="en-US" sz="1200" b="1"/>
            <a:t>Return to Summary Worksheet</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10</xdr:col>
      <xdr:colOff>276226</xdr:colOff>
      <xdr:row>17</xdr:row>
      <xdr:rowOff>161925</xdr:rowOff>
    </xdr:from>
    <xdr:to>
      <xdr:col>30</xdr:col>
      <xdr:colOff>257177</xdr:colOff>
      <xdr:row>25</xdr:row>
      <xdr:rowOff>133350</xdr:rowOff>
    </xdr:to>
    <xdr:sp macro="" textlink="">
      <xdr:nvSpPr>
        <xdr:cNvPr id="2" name="TextBox 1"/>
        <xdr:cNvSpPr txBox="1"/>
      </xdr:nvSpPr>
      <xdr:spPr>
        <a:xfrm>
          <a:off x="8772526" y="3695700"/>
          <a:ext cx="5514976" cy="1571625"/>
        </a:xfrm>
        <a:prstGeom prst="rect">
          <a:avLst/>
        </a:prstGeom>
        <a:ln>
          <a:solidFill>
            <a:sysClr val="windowText" lastClr="000000"/>
          </a:solidFill>
        </a:ln>
      </xdr:spPr>
      <xdr:style>
        <a:lnRef idx="0">
          <a:schemeClr val="accent1"/>
        </a:lnRef>
        <a:fillRef idx="3">
          <a:schemeClr val="accent1"/>
        </a:fillRef>
        <a:effectRef idx="3">
          <a:schemeClr val="accent1"/>
        </a:effectRef>
        <a:fontRef idx="minor">
          <a:schemeClr val="lt1"/>
        </a:fontRef>
      </xdr:style>
      <xdr:txBody>
        <a:bodyPr vertOverflow="clip" horzOverflow="clip" wrap="square" rtlCol="0" anchor="ctr"/>
        <a:lstStyle/>
        <a:p>
          <a:pPr algn="ctr"/>
          <a:r>
            <a:rPr lang="en-US" sz="2400" b="1">
              <a:solidFill>
                <a:schemeClr val="tx1"/>
              </a:solidFill>
            </a:rPr>
            <a:t>Instructions</a:t>
          </a:r>
        </a:p>
        <a:p>
          <a:pPr algn="ctr"/>
          <a:r>
            <a:rPr lang="en-US" sz="1200" b="1">
              <a:solidFill>
                <a:schemeClr val="tx1"/>
              </a:solidFill>
            </a:rPr>
            <a:t>Solve the following problem: As new data are entered and the list in columns B through J grows longer, how do you get the pension report (specifically, the cells beginning in columns P and Y containing the Last Name, First Name, Address, Phone, City, State, Zip, Plan and Balance data) to automatically display the last row of data as the data continues to grow? Send your solution</a:t>
          </a:r>
          <a:r>
            <a:rPr lang="en-US" sz="1200" b="1" baseline="0">
              <a:solidFill>
                <a:schemeClr val="tx1"/>
              </a:solidFill>
            </a:rPr>
            <a:t> to me at  </a:t>
          </a:r>
          <a:r>
            <a:rPr lang="en-US" sz="1200" b="1">
              <a:solidFill>
                <a:schemeClr val="tx1"/>
              </a:solidFill>
            </a:rPr>
            <a:t>J. Carlton Collins (carlton@asaresearch.com)  </a:t>
          </a:r>
          <a:endParaRPr lang="en-US" sz="1000"/>
        </a:p>
      </xdr:txBody>
    </xdr:sp>
    <xdr:clientData/>
  </xdr:twoCellAnchor>
  <xdr:twoCellAnchor>
    <xdr:from>
      <xdr:col>16</xdr:col>
      <xdr:colOff>0</xdr:colOff>
      <xdr:row>0</xdr:row>
      <xdr:rowOff>0</xdr:rowOff>
    </xdr:from>
    <xdr:to>
      <xdr:col>24</xdr:col>
      <xdr:colOff>38100</xdr:colOff>
      <xdr:row>1</xdr:row>
      <xdr:rowOff>57150</xdr:rowOff>
    </xdr:to>
    <xdr:sp macro="" textlink="">
      <xdr:nvSpPr>
        <xdr:cNvPr id="3" name="TextBox 2">
          <a:hlinkClick xmlns:r="http://schemas.openxmlformats.org/officeDocument/2006/relationships" r:id="rId1"/>
        </xdr:cNvPr>
        <xdr:cNvSpPr txBox="1"/>
      </xdr:nvSpPr>
      <xdr:spPr>
        <a:xfrm>
          <a:off x="9467850" y="0"/>
          <a:ext cx="2247900" cy="257175"/>
        </a:xfrm>
        <a:prstGeom prst="rect">
          <a:avLst/>
        </a:prstGeom>
        <a:solidFill>
          <a:srgbClr val="FF0000"/>
        </a:solidFill>
        <a:ln/>
        <a:scene3d>
          <a:camera prst="orthographicFront"/>
          <a:lightRig rig="threePt" dir="t"/>
        </a:scene3d>
        <a:sp3d>
          <a:bevelT/>
        </a:sp3d>
      </xdr:spPr>
      <xdr:style>
        <a:lnRef idx="0">
          <a:schemeClr val="accent1"/>
        </a:lnRef>
        <a:fillRef idx="3">
          <a:schemeClr val="accent1"/>
        </a:fillRef>
        <a:effectRef idx="3">
          <a:schemeClr val="accent1"/>
        </a:effectRef>
        <a:fontRef idx="minor">
          <a:schemeClr val="lt1"/>
        </a:fontRef>
      </xdr:style>
      <xdr:txBody>
        <a:bodyPr vertOverflow="clip" horzOverflow="clip" wrap="square" rtlCol="0" anchor="ctr"/>
        <a:lstStyle/>
        <a:p>
          <a:pPr algn="ctr"/>
          <a:r>
            <a:rPr lang="en-US" sz="1200" b="1"/>
            <a:t>Return to Summary Worksheet</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10</xdr:col>
      <xdr:colOff>276226</xdr:colOff>
      <xdr:row>17</xdr:row>
      <xdr:rowOff>161925</xdr:rowOff>
    </xdr:from>
    <xdr:to>
      <xdr:col>30</xdr:col>
      <xdr:colOff>257177</xdr:colOff>
      <xdr:row>25</xdr:row>
      <xdr:rowOff>133350</xdr:rowOff>
    </xdr:to>
    <xdr:sp macro="" textlink="">
      <xdr:nvSpPr>
        <xdr:cNvPr id="2" name="TextBox 1"/>
        <xdr:cNvSpPr txBox="1"/>
      </xdr:nvSpPr>
      <xdr:spPr>
        <a:xfrm>
          <a:off x="8077201" y="3581400"/>
          <a:ext cx="5514976" cy="1571625"/>
        </a:xfrm>
        <a:prstGeom prst="rect">
          <a:avLst/>
        </a:prstGeom>
        <a:ln>
          <a:solidFill>
            <a:sysClr val="windowText" lastClr="000000"/>
          </a:solidFill>
        </a:ln>
      </xdr:spPr>
      <xdr:style>
        <a:lnRef idx="0">
          <a:schemeClr val="accent1"/>
        </a:lnRef>
        <a:fillRef idx="3">
          <a:schemeClr val="accent1"/>
        </a:fillRef>
        <a:effectRef idx="3">
          <a:schemeClr val="accent1"/>
        </a:effectRef>
        <a:fontRef idx="minor">
          <a:schemeClr val="lt1"/>
        </a:fontRef>
      </xdr:style>
      <xdr:txBody>
        <a:bodyPr vertOverflow="clip" horzOverflow="clip" wrap="square" rtlCol="0" anchor="ctr"/>
        <a:lstStyle/>
        <a:p>
          <a:pPr algn="ctr"/>
          <a:r>
            <a:rPr lang="en-US" sz="2400" b="1">
              <a:solidFill>
                <a:schemeClr val="tx1"/>
              </a:solidFill>
            </a:rPr>
            <a:t>Instructions</a:t>
          </a:r>
        </a:p>
        <a:p>
          <a:pPr algn="ctr"/>
          <a:r>
            <a:rPr lang="en-US" sz="1200" b="1">
              <a:solidFill>
                <a:schemeClr val="tx1"/>
              </a:solidFill>
            </a:rPr>
            <a:t>Solve the following problem: As new data are entered and the list in columns B through J grows longer, how do you get the pension report (specifically, the cells beginning in columns P and Y containing the Last Name, First Name, Address, Phone, City, State, Zip, Plan and Balance data) to automatically display the last row of data as the data continues to grow? Send your solution</a:t>
          </a:r>
          <a:r>
            <a:rPr lang="en-US" sz="1200" b="1" baseline="0">
              <a:solidFill>
                <a:schemeClr val="tx1"/>
              </a:solidFill>
            </a:rPr>
            <a:t> to me at  </a:t>
          </a:r>
          <a:r>
            <a:rPr lang="en-US" sz="1200" b="1">
              <a:solidFill>
                <a:schemeClr val="tx1"/>
              </a:solidFill>
            </a:rPr>
            <a:t>J. Carlton Collins (carlton@asaresearch.com)  </a:t>
          </a:r>
          <a:endParaRPr lang="en-US" sz="1000"/>
        </a:p>
      </xdr:txBody>
    </xdr:sp>
    <xdr:clientData/>
  </xdr:twoCellAnchor>
  <xdr:twoCellAnchor>
    <xdr:from>
      <xdr:col>16</xdr:col>
      <xdr:colOff>0</xdr:colOff>
      <xdr:row>0</xdr:row>
      <xdr:rowOff>0</xdr:rowOff>
    </xdr:from>
    <xdr:to>
      <xdr:col>24</xdr:col>
      <xdr:colOff>38100</xdr:colOff>
      <xdr:row>1</xdr:row>
      <xdr:rowOff>57150</xdr:rowOff>
    </xdr:to>
    <xdr:sp macro="" textlink="">
      <xdr:nvSpPr>
        <xdr:cNvPr id="3" name="TextBox 2">
          <a:hlinkClick xmlns:r="http://schemas.openxmlformats.org/officeDocument/2006/relationships" r:id="rId1"/>
        </xdr:cNvPr>
        <xdr:cNvSpPr txBox="1"/>
      </xdr:nvSpPr>
      <xdr:spPr>
        <a:xfrm>
          <a:off x="9467850" y="0"/>
          <a:ext cx="2247900" cy="257175"/>
        </a:xfrm>
        <a:prstGeom prst="rect">
          <a:avLst/>
        </a:prstGeom>
        <a:solidFill>
          <a:srgbClr val="FF0000"/>
        </a:solidFill>
        <a:ln/>
        <a:scene3d>
          <a:camera prst="orthographicFront"/>
          <a:lightRig rig="threePt" dir="t"/>
        </a:scene3d>
        <a:sp3d>
          <a:bevelT/>
        </a:sp3d>
      </xdr:spPr>
      <xdr:style>
        <a:lnRef idx="0">
          <a:schemeClr val="accent1"/>
        </a:lnRef>
        <a:fillRef idx="3">
          <a:schemeClr val="accent1"/>
        </a:fillRef>
        <a:effectRef idx="3">
          <a:schemeClr val="accent1"/>
        </a:effectRef>
        <a:fontRef idx="minor">
          <a:schemeClr val="lt1"/>
        </a:fontRef>
      </xdr:style>
      <xdr:txBody>
        <a:bodyPr vertOverflow="clip" horzOverflow="clip" wrap="square" rtlCol="0" anchor="ctr"/>
        <a:lstStyle/>
        <a:p>
          <a:pPr algn="ctr"/>
          <a:r>
            <a:rPr lang="en-US" sz="1200" b="1"/>
            <a:t>Return to Summary Worksheet</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10</xdr:col>
      <xdr:colOff>276226</xdr:colOff>
      <xdr:row>17</xdr:row>
      <xdr:rowOff>161925</xdr:rowOff>
    </xdr:from>
    <xdr:to>
      <xdr:col>30</xdr:col>
      <xdr:colOff>257177</xdr:colOff>
      <xdr:row>25</xdr:row>
      <xdr:rowOff>133350</xdr:rowOff>
    </xdr:to>
    <xdr:sp macro="" textlink="">
      <xdr:nvSpPr>
        <xdr:cNvPr id="2" name="TextBox 1"/>
        <xdr:cNvSpPr txBox="1"/>
      </xdr:nvSpPr>
      <xdr:spPr>
        <a:xfrm>
          <a:off x="8077201" y="3581400"/>
          <a:ext cx="5514976" cy="1571625"/>
        </a:xfrm>
        <a:prstGeom prst="rect">
          <a:avLst/>
        </a:prstGeom>
        <a:ln>
          <a:solidFill>
            <a:sysClr val="windowText" lastClr="000000"/>
          </a:solidFill>
        </a:ln>
      </xdr:spPr>
      <xdr:style>
        <a:lnRef idx="0">
          <a:schemeClr val="accent1"/>
        </a:lnRef>
        <a:fillRef idx="3">
          <a:schemeClr val="accent1"/>
        </a:fillRef>
        <a:effectRef idx="3">
          <a:schemeClr val="accent1"/>
        </a:effectRef>
        <a:fontRef idx="minor">
          <a:schemeClr val="lt1"/>
        </a:fontRef>
      </xdr:style>
      <xdr:txBody>
        <a:bodyPr vertOverflow="clip" horzOverflow="clip" wrap="square" rtlCol="0" anchor="ctr"/>
        <a:lstStyle/>
        <a:p>
          <a:pPr algn="ctr"/>
          <a:r>
            <a:rPr lang="en-US" sz="2400" b="1">
              <a:solidFill>
                <a:schemeClr val="tx1"/>
              </a:solidFill>
            </a:rPr>
            <a:t>Instructions</a:t>
          </a:r>
        </a:p>
        <a:p>
          <a:pPr algn="ctr"/>
          <a:r>
            <a:rPr lang="en-US" sz="1200" b="1">
              <a:solidFill>
                <a:schemeClr val="tx1"/>
              </a:solidFill>
            </a:rPr>
            <a:t>Solve the following problem: As new data are entered and the list in columns B through J grows longer, how do you get the pension report (specifically, the cells beginning in columns P and Y containing the Last Name, First Name, Address, Phone, City, State, Zip, Plan and Balance data) to automatically display the last row of data as the data continues to grow? Send your solution</a:t>
          </a:r>
          <a:r>
            <a:rPr lang="en-US" sz="1200" b="1" baseline="0">
              <a:solidFill>
                <a:schemeClr val="tx1"/>
              </a:solidFill>
            </a:rPr>
            <a:t> to me at  </a:t>
          </a:r>
          <a:r>
            <a:rPr lang="en-US" sz="1200" b="1">
              <a:solidFill>
                <a:schemeClr val="tx1"/>
              </a:solidFill>
            </a:rPr>
            <a:t>J. Carlton Collins (carlton@asaresearch.com)  </a:t>
          </a:r>
          <a:endParaRPr lang="en-US" sz="1000"/>
        </a:p>
      </xdr:txBody>
    </xdr:sp>
    <xdr:clientData/>
  </xdr:twoCellAnchor>
  <xdr:twoCellAnchor>
    <xdr:from>
      <xdr:col>16</xdr:col>
      <xdr:colOff>0</xdr:colOff>
      <xdr:row>0</xdr:row>
      <xdr:rowOff>0</xdr:rowOff>
    </xdr:from>
    <xdr:to>
      <xdr:col>24</xdr:col>
      <xdr:colOff>38100</xdr:colOff>
      <xdr:row>1</xdr:row>
      <xdr:rowOff>57150</xdr:rowOff>
    </xdr:to>
    <xdr:sp macro="" textlink="">
      <xdr:nvSpPr>
        <xdr:cNvPr id="3" name="TextBox 2">
          <a:hlinkClick xmlns:r="http://schemas.openxmlformats.org/officeDocument/2006/relationships" r:id="rId1"/>
        </xdr:cNvPr>
        <xdr:cNvSpPr txBox="1"/>
      </xdr:nvSpPr>
      <xdr:spPr>
        <a:xfrm>
          <a:off x="9467850" y="0"/>
          <a:ext cx="2247900" cy="257175"/>
        </a:xfrm>
        <a:prstGeom prst="rect">
          <a:avLst/>
        </a:prstGeom>
        <a:solidFill>
          <a:srgbClr val="FF0000"/>
        </a:solidFill>
        <a:ln/>
        <a:scene3d>
          <a:camera prst="orthographicFront"/>
          <a:lightRig rig="threePt" dir="t"/>
        </a:scene3d>
        <a:sp3d>
          <a:bevelT/>
        </a:sp3d>
      </xdr:spPr>
      <xdr:style>
        <a:lnRef idx="0">
          <a:schemeClr val="accent1"/>
        </a:lnRef>
        <a:fillRef idx="3">
          <a:schemeClr val="accent1"/>
        </a:fillRef>
        <a:effectRef idx="3">
          <a:schemeClr val="accent1"/>
        </a:effectRef>
        <a:fontRef idx="minor">
          <a:schemeClr val="lt1"/>
        </a:fontRef>
      </xdr:style>
      <xdr:txBody>
        <a:bodyPr vertOverflow="clip" horzOverflow="clip" wrap="square" rtlCol="0" anchor="ctr"/>
        <a:lstStyle/>
        <a:p>
          <a:pPr algn="ctr"/>
          <a:r>
            <a:rPr lang="en-US" sz="1200" b="1"/>
            <a:t>Return to Summary Worksheet</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10</xdr:col>
      <xdr:colOff>276226</xdr:colOff>
      <xdr:row>17</xdr:row>
      <xdr:rowOff>161925</xdr:rowOff>
    </xdr:from>
    <xdr:to>
      <xdr:col>30</xdr:col>
      <xdr:colOff>257177</xdr:colOff>
      <xdr:row>25</xdr:row>
      <xdr:rowOff>133350</xdr:rowOff>
    </xdr:to>
    <xdr:sp macro="" textlink="">
      <xdr:nvSpPr>
        <xdr:cNvPr id="2" name="TextBox 1"/>
        <xdr:cNvSpPr txBox="1"/>
      </xdr:nvSpPr>
      <xdr:spPr>
        <a:xfrm>
          <a:off x="8077201" y="3581400"/>
          <a:ext cx="5514976" cy="1571625"/>
        </a:xfrm>
        <a:prstGeom prst="rect">
          <a:avLst/>
        </a:prstGeom>
        <a:ln>
          <a:solidFill>
            <a:sysClr val="windowText" lastClr="000000"/>
          </a:solidFill>
        </a:ln>
      </xdr:spPr>
      <xdr:style>
        <a:lnRef idx="0">
          <a:schemeClr val="accent1"/>
        </a:lnRef>
        <a:fillRef idx="3">
          <a:schemeClr val="accent1"/>
        </a:fillRef>
        <a:effectRef idx="3">
          <a:schemeClr val="accent1"/>
        </a:effectRef>
        <a:fontRef idx="minor">
          <a:schemeClr val="lt1"/>
        </a:fontRef>
      </xdr:style>
      <xdr:txBody>
        <a:bodyPr vertOverflow="clip" horzOverflow="clip" wrap="square" rtlCol="0" anchor="ctr"/>
        <a:lstStyle/>
        <a:p>
          <a:pPr algn="ctr"/>
          <a:r>
            <a:rPr lang="en-US" sz="2400" b="1">
              <a:solidFill>
                <a:schemeClr val="tx1"/>
              </a:solidFill>
            </a:rPr>
            <a:t>Instructions</a:t>
          </a:r>
        </a:p>
        <a:p>
          <a:pPr algn="ctr"/>
          <a:r>
            <a:rPr lang="en-US" sz="1200" b="1">
              <a:solidFill>
                <a:schemeClr val="tx1"/>
              </a:solidFill>
            </a:rPr>
            <a:t>Solve the following problem: As new data are entered and the list in columns B through J grows longer, how do you get the pension report (specifically, the cells beginning in columns P and Y containing the Last Name, First Name, Address, Phone, City, State, Zip, Plan and Balance data) to automatically display the last row of data as the data continues to grow? Send your solution</a:t>
          </a:r>
          <a:r>
            <a:rPr lang="en-US" sz="1200" b="1" baseline="0">
              <a:solidFill>
                <a:schemeClr val="tx1"/>
              </a:solidFill>
            </a:rPr>
            <a:t> to me at  </a:t>
          </a:r>
          <a:r>
            <a:rPr lang="en-US" sz="1200" b="1">
              <a:solidFill>
                <a:schemeClr val="tx1"/>
              </a:solidFill>
            </a:rPr>
            <a:t>J. Carlton Collins (carlton@asaresearch.com)  </a:t>
          </a:r>
          <a:endParaRPr lang="en-US" sz="1000"/>
        </a:p>
      </xdr:txBody>
    </xdr:sp>
    <xdr:clientData/>
  </xdr:twoCellAnchor>
  <xdr:twoCellAnchor>
    <xdr:from>
      <xdr:col>16</xdr:col>
      <xdr:colOff>0</xdr:colOff>
      <xdr:row>0</xdr:row>
      <xdr:rowOff>0</xdr:rowOff>
    </xdr:from>
    <xdr:to>
      <xdr:col>24</xdr:col>
      <xdr:colOff>38100</xdr:colOff>
      <xdr:row>1</xdr:row>
      <xdr:rowOff>57150</xdr:rowOff>
    </xdr:to>
    <xdr:sp macro="" textlink="">
      <xdr:nvSpPr>
        <xdr:cNvPr id="3" name="TextBox 2">
          <a:hlinkClick xmlns:r="http://schemas.openxmlformats.org/officeDocument/2006/relationships" r:id="rId1"/>
        </xdr:cNvPr>
        <xdr:cNvSpPr txBox="1"/>
      </xdr:nvSpPr>
      <xdr:spPr>
        <a:xfrm>
          <a:off x="9467850" y="0"/>
          <a:ext cx="2247900" cy="257175"/>
        </a:xfrm>
        <a:prstGeom prst="rect">
          <a:avLst/>
        </a:prstGeom>
        <a:solidFill>
          <a:srgbClr val="FF0000"/>
        </a:solidFill>
        <a:ln/>
        <a:scene3d>
          <a:camera prst="orthographicFront"/>
          <a:lightRig rig="threePt" dir="t"/>
        </a:scene3d>
        <a:sp3d>
          <a:bevelT/>
        </a:sp3d>
      </xdr:spPr>
      <xdr:style>
        <a:lnRef idx="0">
          <a:schemeClr val="accent1"/>
        </a:lnRef>
        <a:fillRef idx="3">
          <a:schemeClr val="accent1"/>
        </a:fillRef>
        <a:effectRef idx="3">
          <a:schemeClr val="accent1"/>
        </a:effectRef>
        <a:fontRef idx="minor">
          <a:schemeClr val="lt1"/>
        </a:fontRef>
      </xdr:style>
      <xdr:txBody>
        <a:bodyPr vertOverflow="clip" horzOverflow="clip" wrap="square" rtlCol="0" anchor="ctr"/>
        <a:lstStyle/>
        <a:p>
          <a:pPr algn="ctr"/>
          <a:r>
            <a:rPr lang="en-US" sz="1200" b="1"/>
            <a:t>Return to Summary Worksheet</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10</xdr:col>
      <xdr:colOff>276226</xdr:colOff>
      <xdr:row>17</xdr:row>
      <xdr:rowOff>161925</xdr:rowOff>
    </xdr:from>
    <xdr:to>
      <xdr:col>30</xdr:col>
      <xdr:colOff>257177</xdr:colOff>
      <xdr:row>25</xdr:row>
      <xdr:rowOff>133350</xdr:rowOff>
    </xdr:to>
    <xdr:sp macro="" textlink="">
      <xdr:nvSpPr>
        <xdr:cNvPr id="2" name="TextBox 1"/>
        <xdr:cNvSpPr txBox="1"/>
      </xdr:nvSpPr>
      <xdr:spPr>
        <a:xfrm>
          <a:off x="8077201" y="3581400"/>
          <a:ext cx="5524501" cy="1571625"/>
        </a:xfrm>
        <a:prstGeom prst="rect">
          <a:avLst/>
        </a:prstGeom>
        <a:ln>
          <a:solidFill>
            <a:sysClr val="windowText" lastClr="000000"/>
          </a:solidFill>
        </a:ln>
      </xdr:spPr>
      <xdr:style>
        <a:lnRef idx="0">
          <a:schemeClr val="accent1"/>
        </a:lnRef>
        <a:fillRef idx="3">
          <a:schemeClr val="accent1"/>
        </a:fillRef>
        <a:effectRef idx="3">
          <a:schemeClr val="accent1"/>
        </a:effectRef>
        <a:fontRef idx="minor">
          <a:schemeClr val="lt1"/>
        </a:fontRef>
      </xdr:style>
      <xdr:txBody>
        <a:bodyPr vertOverflow="clip" horzOverflow="clip" wrap="square" rtlCol="0" anchor="ctr"/>
        <a:lstStyle/>
        <a:p>
          <a:pPr algn="ctr"/>
          <a:r>
            <a:rPr lang="en-US" sz="2400" b="1">
              <a:solidFill>
                <a:schemeClr val="tx1"/>
              </a:solidFill>
            </a:rPr>
            <a:t>Instructions</a:t>
          </a:r>
        </a:p>
        <a:p>
          <a:pPr algn="ctr"/>
          <a:r>
            <a:rPr lang="en-US" sz="1200" b="1">
              <a:solidFill>
                <a:schemeClr val="tx1"/>
              </a:solidFill>
            </a:rPr>
            <a:t>Solve the following problem: As new data are entered and the list in columns B through J grows longer, how do you get the pension report (specifically, the cells beginning in columns P and Y containing the Last Name, First Name, Address, Phone, City, State, Zip, Plan and Balance data) to automatically display the last row of data as the data continues to grow? Send your solution</a:t>
          </a:r>
          <a:r>
            <a:rPr lang="en-US" sz="1200" b="1" baseline="0">
              <a:solidFill>
                <a:schemeClr val="tx1"/>
              </a:solidFill>
            </a:rPr>
            <a:t> to me at  </a:t>
          </a:r>
          <a:r>
            <a:rPr lang="en-US" sz="1200" b="1">
              <a:solidFill>
                <a:schemeClr val="tx1"/>
              </a:solidFill>
            </a:rPr>
            <a:t>J. Carlton Collins (carlton@asaresearch.com)  </a:t>
          </a:r>
          <a:endParaRPr lang="en-US" sz="1000"/>
        </a:p>
      </xdr:txBody>
    </xdr:sp>
    <xdr:clientData/>
  </xdr:twoCellAnchor>
  <xdr:twoCellAnchor>
    <xdr:from>
      <xdr:col>16</xdr:col>
      <xdr:colOff>0</xdr:colOff>
      <xdr:row>0</xdr:row>
      <xdr:rowOff>0</xdr:rowOff>
    </xdr:from>
    <xdr:to>
      <xdr:col>24</xdr:col>
      <xdr:colOff>38100</xdr:colOff>
      <xdr:row>1</xdr:row>
      <xdr:rowOff>57150</xdr:rowOff>
    </xdr:to>
    <xdr:sp macro="" textlink="">
      <xdr:nvSpPr>
        <xdr:cNvPr id="3" name="TextBox 2">
          <a:hlinkClick xmlns:r="http://schemas.openxmlformats.org/officeDocument/2006/relationships" r:id="rId1"/>
        </xdr:cNvPr>
        <xdr:cNvSpPr txBox="1"/>
      </xdr:nvSpPr>
      <xdr:spPr>
        <a:xfrm>
          <a:off x="9467850" y="0"/>
          <a:ext cx="2247900" cy="257175"/>
        </a:xfrm>
        <a:prstGeom prst="rect">
          <a:avLst/>
        </a:prstGeom>
        <a:solidFill>
          <a:srgbClr val="FF0000"/>
        </a:solidFill>
        <a:ln/>
        <a:scene3d>
          <a:camera prst="orthographicFront"/>
          <a:lightRig rig="threePt" dir="t"/>
        </a:scene3d>
        <a:sp3d>
          <a:bevelT/>
        </a:sp3d>
      </xdr:spPr>
      <xdr:style>
        <a:lnRef idx="0">
          <a:schemeClr val="accent1"/>
        </a:lnRef>
        <a:fillRef idx="3">
          <a:schemeClr val="accent1"/>
        </a:fillRef>
        <a:effectRef idx="3">
          <a:schemeClr val="accent1"/>
        </a:effectRef>
        <a:fontRef idx="minor">
          <a:schemeClr val="lt1"/>
        </a:fontRef>
      </xdr:style>
      <xdr:txBody>
        <a:bodyPr vertOverflow="clip" horzOverflow="clip" wrap="square" rtlCol="0" anchor="ctr"/>
        <a:lstStyle/>
        <a:p>
          <a:pPr algn="ctr"/>
          <a:r>
            <a:rPr lang="en-US" sz="1200" b="1"/>
            <a:t>Return to Summary Worksheet</a:t>
          </a: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10</xdr:col>
      <xdr:colOff>276226</xdr:colOff>
      <xdr:row>19</xdr:row>
      <xdr:rowOff>161925</xdr:rowOff>
    </xdr:from>
    <xdr:to>
      <xdr:col>30</xdr:col>
      <xdr:colOff>257177</xdr:colOff>
      <xdr:row>27</xdr:row>
      <xdr:rowOff>133350</xdr:rowOff>
    </xdr:to>
    <xdr:sp macro="" textlink="">
      <xdr:nvSpPr>
        <xdr:cNvPr id="2" name="TextBox 1"/>
        <xdr:cNvSpPr txBox="1"/>
      </xdr:nvSpPr>
      <xdr:spPr>
        <a:xfrm>
          <a:off x="8772526" y="3981450"/>
          <a:ext cx="6210301" cy="1571625"/>
        </a:xfrm>
        <a:prstGeom prst="rect">
          <a:avLst/>
        </a:prstGeom>
        <a:ln>
          <a:solidFill>
            <a:sysClr val="windowText" lastClr="000000"/>
          </a:solidFill>
        </a:ln>
      </xdr:spPr>
      <xdr:style>
        <a:lnRef idx="0">
          <a:schemeClr val="accent1"/>
        </a:lnRef>
        <a:fillRef idx="3">
          <a:schemeClr val="accent1"/>
        </a:fillRef>
        <a:effectRef idx="3">
          <a:schemeClr val="accent1"/>
        </a:effectRef>
        <a:fontRef idx="minor">
          <a:schemeClr val="lt1"/>
        </a:fontRef>
      </xdr:style>
      <xdr:txBody>
        <a:bodyPr vertOverflow="clip" horzOverflow="clip" wrap="square" rtlCol="0" anchor="ctr"/>
        <a:lstStyle/>
        <a:p>
          <a:pPr algn="ctr"/>
          <a:r>
            <a:rPr lang="en-US" sz="2400" b="1">
              <a:solidFill>
                <a:schemeClr val="tx1"/>
              </a:solidFill>
            </a:rPr>
            <a:t>Instructions</a:t>
          </a:r>
        </a:p>
        <a:p>
          <a:pPr algn="ctr"/>
          <a:r>
            <a:rPr lang="en-US" sz="1200" b="1">
              <a:solidFill>
                <a:schemeClr val="tx1"/>
              </a:solidFill>
            </a:rPr>
            <a:t>Solve the following problem: As new data are entered and the list in columns B through J grows longer, how do you get the pension report (specifically, the cells beginning in columns P and Y containing the Last Name, First Name, Address, Phone, City, State, Zip, Plan and Balance data) to automatically display the last row of data as the data continues to grow? Send your solution</a:t>
          </a:r>
          <a:r>
            <a:rPr lang="en-US" sz="1200" b="1" baseline="0">
              <a:solidFill>
                <a:schemeClr val="tx1"/>
              </a:solidFill>
            </a:rPr>
            <a:t> to me at  </a:t>
          </a:r>
          <a:r>
            <a:rPr lang="en-US" sz="1200" b="1">
              <a:solidFill>
                <a:schemeClr val="tx1"/>
              </a:solidFill>
            </a:rPr>
            <a:t>J. Carlton Collins (carlton@asaresearch.com)  </a:t>
          </a:r>
          <a:endParaRPr lang="en-US" sz="1000"/>
        </a:p>
      </xdr:txBody>
    </xdr:sp>
    <xdr:clientData/>
  </xdr:twoCellAnchor>
  <xdr:twoCellAnchor>
    <xdr:from>
      <xdr:col>16</xdr:col>
      <xdr:colOff>0</xdr:colOff>
      <xdr:row>0</xdr:row>
      <xdr:rowOff>0</xdr:rowOff>
    </xdr:from>
    <xdr:to>
      <xdr:col>24</xdr:col>
      <xdr:colOff>38100</xdr:colOff>
      <xdr:row>1</xdr:row>
      <xdr:rowOff>57150</xdr:rowOff>
    </xdr:to>
    <xdr:sp macro="" textlink="">
      <xdr:nvSpPr>
        <xdr:cNvPr id="3" name="TextBox 2">
          <a:hlinkClick xmlns:r="http://schemas.openxmlformats.org/officeDocument/2006/relationships" r:id="rId1"/>
        </xdr:cNvPr>
        <xdr:cNvSpPr txBox="1"/>
      </xdr:nvSpPr>
      <xdr:spPr>
        <a:xfrm>
          <a:off x="9467850" y="0"/>
          <a:ext cx="2247900" cy="257175"/>
        </a:xfrm>
        <a:prstGeom prst="rect">
          <a:avLst/>
        </a:prstGeom>
        <a:solidFill>
          <a:srgbClr val="FF0000"/>
        </a:solidFill>
        <a:ln/>
        <a:scene3d>
          <a:camera prst="orthographicFront"/>
          <a:lightRig rig="threePt" dir="t"/>
        </a:scene3d>
        <a:sp3d>
          <a:bevelT/>
        </a:sp3d>
      </xdr:spPr>
      <xdr:style>
        <a:lnRef idx="0">
          <a:schemeClr val="accent1"/>
        </a:lnRef>
        <a:fillRef idx="3">
          <a:schemeClr val="accent1"/>
        </a:fillRef>
        <a:effectRef idx="3">
          <a:schemeClr val="accent1"/>
        </a:effectRef>
        <a:fontRef idx="minor">
          <a:schemeClr val="lt1"/>
        </a:fontRef>
      </xdr:style>
      <xdr:txBody>
        <a:bodyPr vertOverflow="clip" horzOverflow="clip" wrap="square" rtlCol="0" anchor="ctr"/>
        <a:lstStyle/>
        <a:p>
          <a:pPr algn="ctr"/>
          <a:r>
            <a:rPr lang="en-US" sz="1200" b="1"/>
            <a:t>Return to Summary Worksheet</a:t>
          </a: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10</xdr:col>
      <xdr:colOff>276226</xdr:colOff>
      <xdr:row>17</xdr:row>
      <xdr:rowOff>161925</xdr:rowOff>
    </xdr:from>
    <xdr:to>
      <xdr:col>30</xdr:col>
      <xdr:colOff>257177</xdr:colOff>
      <xdr:row>26</xdr:row>
      <xdr:rowOff>76200</xdr:rowOff>
    </xdr:to>
    <xdr:sp macro="" textlink="">
      <xdr:nvSpPr>
        <xdr:cNvPr id="2" name="TextBox 1"/>
        <xdr:cNvSpPr txBox="1"/>
      </xdr:nvSpPr>
      <xdr:spPr>
        <a:xfrm>
          <a:off x="8753476" y="3581400"/>
          <a:ext cx="5514976" cy="1714500"/>
        </a:xfrm>
        <a:prstGeom prst="rect">
          <a:avLst/>
        </a:prstGeom>
        <a:ln>
          <a:solidFill>
            <a:sysClr val="windowText" lastClr="000000"/>
          </a:solidFill>
        </a:ln>
      </xdr:spPr>
      <xdr:style>
        <a:lnRef idx="0">
          <a:schemeClr val="accent1"/>
        </a:lnRef>
        <a:fillRef idx="3">
          <a:schemeClr val="accent1"/>
        </a:fillRef>
        <a:effectRef idx="3">
          <a:schemeClr val="accent1"/>
        </a:effectRef>
        <a:fontRef idx="minor">
          <a:schemeClr val="lt1"/>
        </a:fontRef>
      </xdr:style>
      <xdr:txBody>
        <a:bodyPr vertOverflow="clip" horzOverflow="clip" wrap="square" rtlCol="0" anchor="ctr"/>
        <a:lstStyle/>
        <a:p>
          <a:pPr algn="ctr"/>
          <a:r>
            <a:rPr lang="en-US" sz="2400" b="1">
              <a:solidFill>
                <a:schemeClr val="tx1"/>
              </a:solidFill>
            </a:rPr>
            <a:t>Instructions</a:t>
          </a:r>
        </a:p>
        <a:p>
          <a:pPr algn="ctr"/>
          <a:r>
            <a:rPr lang="en-US" sz="1200" b="1">
              <a:solidFill>
                <a:schemeClr val="tx1"/>
              </a:solidFill>
            </a:rPr>
            <a:t>Solve the following problem: As new data are entered and the list in columns B through J grows longer, how do you get the pension report (specifically, the cells beginning in columns P and Y containing the Last Name, First Name, Address, Phone, City, State, Zip, Plan and Balance data) to automatically display the last row of data as the data continues to grow? Send your solution</a:t>
          </a:r>
          <a:r>
            <a:rPr lang="en-US" sz="1200" b="1" baseline="0">
              <a:solidFill>
                <a:schemeClr val="tx1"/>
              </a:solidFill>
            </a:rPr>
            <a:t> to me at  </a:t>
          </a:r>
          <a:r>
            <a:rPr lang="en-US" sz="1200" b="1">
              <a:solidFill>
                <a:schemeClr val="tx1"/>
              </a:solidFill>
            </a:rPr>
            <a:t>J. Carlton Collins (carlton@asaresearch.com)  </a:t>
          </a:r>
          <a:endParaRPr lang="en-US" sz="1000"/>
        </a:p>
      </xdr:txBody>
    </xdr:sp>
    <xdr:clientData/>
  </xdr:twoCellAnchor>
  <xdr:twoCellAnchor>
    <xdr:from>
      <xdr:col>16</xdr:col>
      <xdr:colOff>0</xdr:colOff>
      <xdr:row>0</xdr:row>
      <xdr:rowOff>0</xdr:rowOff>
    </xdr:from>
    <xdr:to>
      <xdr:col>24</xdr:col>
      <xdr:colOff>38100</xdr:colOff>
      <xdr:row>1</xdr:row>
      <xdr:rowOff>57150</xdr:rowOff>
    </xdr:to>
    <xdr:sp macro="" textlink="">
      <xdr:nvSpPr>
        <xdr:cNvPr id="3" name="TextBox 2">
          <a:hlinkClick xmlns:r="http://schemas.openxmlformats.org/officeDocument/2006/relationships" r:id="rId1"/>
        </xdr:cNvPr>
        <xdr:cNvSpPr txBox="1"/>
      </xdr:nvSpPr>
      <xdr:spPr>
        <a:xfrm>
          <a:off x="9467850" y="0"/>
          <a:ext cx="2247900" cy="257175"/>
        </a:xfrm>
        <a:prstGeom prst="rect">
          <a:avLst/>
        </a:prstGeom>
        <a:solidFill>
          <a:srgbClr val="FF0000"/>
        </a:solidFill>
        <a:ln/>
        <a:scene3d>
          <a:camera prst="orthographicFront"/>
          <a:lightRig rig="threePt" dir="t"/>
        </a:scene3d>
        <a:sp3d>
          <a:bevelT/>
        </a:sp3d>
      </xdr:spPr>
      <xdr:style>
        <a:lnRef idx="0">
          <a:schemeClr val="accent1"/>
        </a:lnRef>
        <a:fillRef idx="3">
          <a:schemeClr val="accent1"/>
        </a:fillRef>
        <a:effectRef idx="3">
          <a:schemeClr val="accent1"/>
        </a:effectRef>
        <a:fontRef idx="minor">
          <a:schemeClr val="lt1"/>
        </a:fontRef>
      </xdr:style>
      <xdr:txBody>
        <a:bodyPr vertOverflow="clip" horzOverflow="clip" wrap="square" rtlCol="0" anchor="ctr"/>
        <a:lstStyle/>
        <a:p>
          <a:pPr algn="ctr"/>
          <a:r>
            <a:rPr lang="en-US" sz="1200" b="1"/>
            <a:t>Return to Summary Worksheet</a:t>
          </a: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10</xdr:col>
      <xdr:colOff>276226</xdr:colOff>
      <xdr:row>17</xdr:row>
      <xdr:rowOff>161925</xdr:rowOff>
    </xdr:from>
    <xdr:to>
      <xdr:col>30</xdr:col>
      <xdr:colOff>257177</xdr:colOff>
      <xdr:row>25</xdr:row>
      <xdr:rowOff>133350</xdr:rowOff>
    </xdr:to>
    <xdr:sp macro="" textlink="">
      <xdr:nvSpPr>
        <xdr:cNvPr id="2" name="TextBox 1"/>
        <xdr:cNvSpPr txBox="1"/>
      </xdr:nvSpPr>
      <xdr:spPr>
        <a:xfrm>
          <a:off x="8077201" y="3581400"/>
          <a:ext cx="5514976" cy="1571625"/>
        </a:xfrm>
        <a:prstGeom prst="rect">
          <a:avLst/>
        </a:prstGeom>
        <a:ln>
          <a:solidFill>
            <a:sysClr val="windowText" lastClr="000000"/>
          </a:solidFill>
        </a:ln>
      </xdr:spPr>
      <xdr:style>
        <a:lnRef idx="0">
          <a:schemeClr val="accent1"/>
        </a:lnRef>
        <a:fillRef idx="3">
          <a:schemeClr val="accent1"/>
        </a:fillRef>
        <a:effectRef idx="3">
          <a:schemeClr val="accent1"/>
        </a:effectRef>
        <a:fontRef idx="minor">
          <a:schemeClr val="lt1"/>
        </a:fontRef>
      </xdr:style>
      <xdr:txBody>
        <a:bodyPr vertOverflow="clip" horzOverflow="clip" wrap="square" rtlCol="0" anchor="ctr"/>
        <a:lstStyle/>
        <a:p>
          <a:pPr algn="ctr"/>
          <a:r>
            <a:rPr lang="en-US" sz="2400" b="1">
              <a:solidFill>
                <a:schemeClr val="tx1"/>
              </a:solidFill>
            </a:rPr>
            <a:t>Instructions</a:t>
          </a:r>
        </a:p>
        <a:p>
          <a:pPr algn="ctr"/>
          <a:r>
            <a:rPr lang="en-US" sz="1200" b="1">
              <a:solidFill>
                <a:schemeClr val="tx1"/>
              </a:solidFill>
            </a:rPr>
            <a:t>Solve the following problem: As new data are entered and the list in columns B through J grows longer, how do you get the pension report (specifically, the cells beginning in columns P and Y containing the Last Name, First Name, Address, Phone, City, State, Zip, Plan and Balance data) to automatically display the last row of data as the data continues to grow? Send your solution</a:t>
          </a:r>
          <a:r>
            <a:rPr lang="en-US" sz="1200" b="1" baseline="0">
              <a:solidFill>
                <a:schemeClr val="tx1"/>
              </a:solidFill>
            </a:rPr>
            <a:t> to me at  </a:t>
          </a:r>
          <a:r>
            <a:rPr lang="en-US" sz="1200" b="1">
              <a:solidFill>
                <a:schemeClr val="tx1"/>
              </a:solidFill>
            </a:rPr>
            <a:t>J. Carlton Collins (carlton@asaresearch.com)  </a:t>
          </a:r>
          <a:endParaRPr lang="en-US" sz="1000"/>
        </a:p>
      </xdr:txBody>
    </xdr:sp>
    <xdr:clientData/>
  </xdr:twoCellAnchor>
  <xdr:twoCellAnchor>
    <xdr:from>
      <xdr:col>16</xdr:col>
      <xdr:colOff>0</xdr:colOff>
      <xdr:row>0</xdr:row>
      <xdr:rowOff>0</xdr:rowOff>
    </xdr:from>
    <xdr:to>
      <xdr:col>24</xdr:col>
      <xdr:colOff>38100</xdr:colOff>
      <xdr:row>1</xdr:row>
      <xdr:rowOff>57150</xdr:rowOff>
    </xdr:to>
    <xdr:sp macro="" textlink="">
      <xdr:nvSpPr>
        <xdr:cNvPr id="3" name="TextBox 2">
          <a:hlinkClick xmlns:r="http://schemas.openxmlformats.org/officeDocument/2006/relationships" r:id="rId1"/>
        </xdr:cNvPr>
        <xdr:cNvSpPr txBox="1"/>
      </xdr:nvSpPr>
      <xdr:spPr>
        <a:xfrm>
          <a:off x="9467850" y="0"/>
          <a:ext cx="2247900" cy="257175"/>
        </a:xfrm>
        <a:prstGeom prst="rect">
          <a:avLst/>
        </a:prstGeom>
        <a:solidFill>
          <a:srgbClr val="FF0000"/>
        </a:solidFill>
        <a:ln/>
        <a:scene3d>
          <a:camera prst="orthographicFront"/>
          <a:lightRig rig="threePt" dir="t"/>
        </a:scene3d>
        <a:sp3d>
          <a:bevelT/>
        </a:sp3d>
      </xdr:spPr>
      <xdr:style>
        <a:lnRef idx="0">
          <a:schemeClr val="accent1"/>
        </a:lnRef>
        <a:fillRef idx="3">
          <a:schemeClr val="accent1"/>
        </a:fillRef>
        <a:effectRef idx="3">
          <a:schemeClr val="accent1"/>
        </a:effectRef>
        <a:fontRef idx="minor">
          <a:schemeClr val="lt1"/>
        </a:fontRef>
      </xdr:style>
      <xdr:txBody>
        <a:bodyPr vertOverflow="clip" horzOverflow="clip" wrap="square" rtlCol="0" anchor="ctr"/>
        <a:lstStyle/>
        <a:p>
          <a:pPr algn="ctr"/>
          <a:r>
            <a:rPr lang="en-US" sz="1200" b="1"/>
            <a:t>Return to Summary Worksheet</a:t>
          </a: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10</xdr:col>
      <xdr:colOff>276226</xdr:colOff>
      <xdr:row>17</xdr:row>
      <xdr:rowOff>161925</xdr:rowOff>
    </xdr:from>
    <xdr:to>
      <xdr:col>30</xdr:col>
      <xdr:colOff>257177</xdr:colOff>
      <xdr:row>25</xdr:row>
      <xdr:rowOff>133350</xdr:rowOff>
    </xdr:to>
    <xdr:sp macro="" textlink="">
      <xdr:nvSpPr>
        <xdr:cNvPr id="2" name="TextBox 1"/>
        <xdr:cNvSpPr txBox="1"/>
      </xdr:nvSpPr>
      <xdr:spPr>
        <a:xfrm>
          <a:off x="8077201" y="3581400"/>
          <a:ext cx="6124576" cy="1571625"/>
        </a:xfrm>
        <a:prstGeom prst="rect">
          <a:avLst/>
        </a:prstGeom>
        <a:ln>
          <a:solidFill>
            <a:sysClr val="windowText" lastClr="000000"/>
          </a:solidFill>
        </a:ln>
      </xdr:spPr>
      <xdr:style>
        <a:lnRef idx="0">
          <a:schemeClr val="accent1"/>
        </a:lnRef>
        <a:fillRef idx="3">
          <a:schemeClr val="accent1"/>
        </a:fillRef>
        <a:effectRef idx="3">
          <a:schemeClr val="accent1"/>
        </a:effectRef>
        <a:fontRef idx="minor">
          <a:schemeClr val="lt1"/>
        </a:fontRef>
      </xdr:style>
      <xdr:txBody>
        <a:bodyPr vertOverflow="clip" horzOverflow="clip" wrap="square" rtlCol="0" anchor="ctr"/>
        <a:lstStyle/>
        <a:p>
          <a:pPr algn="ctr"/>
          <a:r>
            <a:rPr lang="en-US" sz="2400" b="1">
              <a:solidFill>
                <a:schemeClr val="tx1"/>
              </a:solidFill>
            </a:rPr>
            <a:t>Instructions</a:t>
          </a:r>
        </a:p>
        <a:p>
          <a:pPr algn="ctr"/>
          <a:r>
            <a:rPr lang="en-US" sz="1200" b="1">
              <a:solidFill>
                <a:schemeClr val="tx1"/>
              </a:solidFill>
            </a:rPr>
            <a:t>Solve the following problem: As new data are entered and the list in columns B through J grows longer, how do you get the pension report (specifically, the cells beginning in columns P and Y containing the Last Name, First Name, Address, Phone, City, State, Zip, Plan and Balance data) to automatically display the last row of data as the data continues to grow? Send your solution</a:t>
          </a:r>
          <a:r>
            <a:rPr lang="en-US" sz="1200" b="1" baseline="0">
              <a:solidFill>
                <a:schemeClr val="tx1"/>
              </a:solidFill>
            </a:rPr>
            <a:t> to me at  </a:t>
          </a:r>
          <a:r>
            <a:rPr lang="en-US" sz="1200" b="1">
              <a:solidFill>
                <a:schemeClr val="tx1"/>
              </a:solidFill>
            </a:rPr>
            <a:t>J. Carlton Collins (carlton@asaresearch.com)  </a:t>
          </a:r>
          <a:endParaRPr lang="en-US" sz="1000"/>
        </a:p>
      </xdr:txBody>
    </xdr:sp>
    <xdr:clientData/>
  </xdr:twoCellAnchor>
  <xdr:twoCellAnchor>
    <xdr:from>
      <xdr:col>16</xdr:col>
      <xdr:colOff>0</xdr:colOff>
      <xdr:row>0</xdr:row>
      <xdr:rowOff>0</xdr:rowOff>
    </xdr:from>
    <xdr:to>
      <xdr:col>24</xdr:col>
      <xdr:colOff>38100</xdr:colOff>
      <xdr:row>1</xdr:row>
      <xdr:rowOff>57150</xdr:rowOff>
    </xdr:to>
    <xdr:sp macro="" textlink="">
      <xdr:nvSpPr>
        <xdr:cNvPr id="3" name="TextBox 2">
          <a:hlinkClick xmlns:r="http://schemas.openxmlformats.org/officeDocument/2006/relationships" r:id="rId1"/>
        </xdr:cNvPr>
        <xdr:cNvSpPr txBox="1"/>
      </xdr:nvSpPr>
      <xdr:spPr>
        <a:xfrm>
          <a:off x="9467850" y="0"/>
          <a:ext cx="2247900" cy="257175"/>
        </a:xfrm>
        <a:prstGeom prst="rect">
          <a:avLst/>
        </a:prstGeom>
        <a:solidFill>
          <a:srgbClr val="FF0000"/>
        </a:solidFill>
        <a:ln/>
        <a:scene3d>
          <a:camera prst="orthographicFront"/>
          <a:lightRig rig="threePt" dir="t"/>
        </a:scene3d>
        <a:sp3d>
          <a:bevelT/>
        </a:sp3d>
      </xdr:spPr>
      <xdr:style>
        <a:lnRef idx="0">
          <a:schemeClr val="accent1"/>
        </a:lnRef>
        <a:fillRef idx="3">
          <a:schemeClr val="accent1"/>
        </a:fillRef>
        <a:effectRef idx="3">
          <a:schemeClr val="accent1"/>
        </a:effectRef>
        <a:fontRef idx="minor">
          <a:schemeClr val="lt1"/>
        </a:fontRef>
      </xdr:style>
      <xdr:txBody>
        <a:bodyPr vertOverflow="clip" horzOverflow="clip" wrap="square" rtlCol="0" anchor="ctr"/>
        <a:lstStyle/>
        <a:p>
          <a:pPr algn="ctr"/>
          <a:r>
            <a:rPr lang="en-US" sz="1200" b="1"/>
            <a:t>Return to Summary Worksheet</a:t>
          </a: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10</xdr:col>
      <xdr:colOff>276226</xdr:colOff>
      <xdr:row>17</xdr:row>
      <xdr:rowOff>161925</xdr:rowOff>
    </xdr:from>
    <xdr:to>
      <xdr:col>30</xdr:col>
      <xdr:colOff>257177</xdr:colOff>
      <xdr:row>25</xdr:row>
      <xdr:rowOff>133350</xdr:rowOff>
    </xdr:to>
    <xdr:sp macro="" textlink="">
      <xdr:nvSpPr>
        <xdr:cNvPr id="2" name="TextBox 1"/>
        <xdr:cNvSpPr txBox="1"/>
      </xdr:nvSpPr>
      <xdr:spPr>
        <a:xfrm>
          <a:off x="8077201" y="3581400"/>
          <a:ext cx="5514976" cy="1571625"/>
        </a:xfrm>
        <a:prstGeom prst="rect">
          <a:avLst/>
        </a:prstGeom>
        <a:ln>
          <a:solidFill>
            <a:sysClr val="windowText" lastClr="000000"/>
          </a:solidFill>
        </a:ln>
      </xdr:spPr>
      <xdr:style>
        <a:lnRef idx="0">
          <a:schemeClr val="accent1"/>
        </a:lnRef>
        <a:fillRef idx="3">
          <a:schemeClr val="accent1"/>
        </a:fillRef>
        <a:effectRef idx="3">
          <a:schemeClr val="accent1"/>
        </a:effectRef>
        <a:fontRef idx="minor">
          <a:schemeClr val="lt1"/>
        </a:fontRef>
      </xdr:style>
      <xdr:txBody>
        <a:bodyPr vertOverflow="clip" horzOverflow="clip" wrap="square" rtlCol="0" anchor="ctr"/>
        <a:lstStyle/>
        <a:p>
          <a:pPr algn="ctr"/>
          <a:r>
            <a:rPr lang="en-US" sz="2400" b="1">
              <a:solidFill>
                <a:schemeClr val="tx1"/>
              </a:solidFill>
            </a:rPr>
            <a:t>Instructions</a:t>
          </a:r>
        </a:p>
        <a:p>
          <a:pPr algn="ctr"/>
          <a:r>
            <a:rPr lang="en-US" sz="1200" b="1">
              <a:solidFill>
                <a:schemeClr val="tx1"/>
              </a:solidFill>
            </a:rPr>
            <a:t>Solve the following problem: As new data are entered and the list in columns B through J grows longer, how do you get the pension report (specifically, the cells beginning in columns P and Y containing the Last Name, First Name, Address, Phone, City, State, Zip, Plan and Balance data) to automatically display the last row of data as the data continues to grow? Send your solution</a:t>
          </a:r>
          <a:r>
            <a:rPr lang="en-US" sz="1200" b="1" baseline="0">
              <a:solidFill>
                <a:schemeClr val="tx1"/>
              </a:solidFill>
            </a:rPr>
            <a:t> to me at  </a:t>
          </a:r>
          <a:r>
            <a:rPr lang="en-US" sz="1200" b="1">
              <a:solidFill>
                <a:schemeClr val="tx1"/>
              </a:solidFill>
            </a:rPr>
            <a:t>J. Carlton Collins (carlton@asaresearch.com)  </a:t>
          </a:r>
          <a:endParaRPr lang="en-US" sz="1000"/>
        </a:p>
      </xdr:txBody>
    </xdr:sp>
    <xdr:clientData/>
  </xdr:twoCellAnchor>
  <xdr:twoCellAnchor>
    <xdr:from>
      <xdr:col>16</xdr:col>
      <xdr:colOff>0</xdr:colOff>
      <xdr:row>0</xdr:row>
      <xdr:rowOff>0</xdr:rowOff>
    </xdr:from>
    <xdr:to>
      <xdr:col>24</xdr:col>
      <xdr:colOff>38100</xdr:colOff>
      <xdr:row>1</xdr:row>
      <xdr:rowOff>57150</xdr:rowOff>
    </xdr:to>
    <xdr:sp macro="" textlink="">
      <xdr:nvSpPr>
        <xdr:cNvPr id="3" name="TextBox 2">
          <a:hlinkClick xmlns:r="http://schemas.openxmlformats.org/officeDocument/2006/relationships" r:id="rId1"/>
        </xdr:cNvPr>
        <xdr:cNvSpPr txBox="1"/>
      </xdr:nvSpPr>
      <xdr:spPr>
        <a:xfrm>
          <a:off x="9467850" y="0"/>
          <a:ext cx="2247900" cy="257175"/>
        </a:xfrm>
        <a:prstGeom prst="rect">
          <a:avLst/>
        </a:prstGeom>
        <a:solidFill>
          <a:srgbClr val="FF0000"/>
        </a:solidFill>
        <a:ln/>
        <a:scene3d>
          <a:camera prst="orthographicFront"/>
          <a:lightRig rig="threePt" dir="t"/>
        </a:scene3d>
        <a:sp3d>
          <a:bevelT/>
        </a:sp3d>
      </xdr:spPr>
      <xdr:style>
        <a:lnRef idx="0">
          <a:schemeClr val="accent1"/>
        </a:lnRef>
        <a:fillRef idx="3">
          <a:schemeClr val="accent1"/>
        </a:fillRef>
        <a:effectRef idx="3">
          <a:schemeClr val="accent1"/>
        </a:effectRef>
        <a:fontRef idx="minor">
          <a:schemeClr val="lt1"/>
        </a:fontRef>
      </xdr:style>
      <xdr:txBody>
        <a:bodyPr vertOverflow="clip" horzOverflow="clip" wrap="square" rtlCol="0" anchor="ctr"/>
        <a:lstStyle/>
        <a:p>
          <a:pPr algn="ctr"/>
          <a:r>
            <a:rPr lang="en-US" sz="1200" b="1"/>
            <a:t>Return to Summary Worksheet</a:t>
          </a: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11</xdr:col>
      <xdr:colOff>276226</xdr:colOff>
      <xdr:row>17</xdr:row>
      <xdr:rowOff>161925</xdr:rowOff>
    </xdr:from>
    <xdr:to>
      <xdr:col>31</xdr:col>
      <xdr:colOff>257177</xdr:colOff>
      <xdr:row>25</xdr:row>
      <xdr:rowOff>133350</xdr:rowOff>
    </xdr:to>
    <xdr:sp macro="" textlink="">
      <xdr:nvSpPr>
        <xdr:cNvPr id="2" name="TextBox 1"/>
        <xdr:cNvSpPr txBox="1"/>
      </xdr:nvSpPr>
      <xdr:spPr>
        <a:xfrm>
          <a:off x="8124826" y="3581400"/>
          <a:ext cx="5514976" cy="1571625"/>
        </a:xfrm>
        <a:prstGeom prst="rect">
          <a:avLst/>
        </a:prstGeom>
        <a:ln>
          <a:solidFill>
            <a:sysClr val="windowText" lastClr="000000"/>
          </a:solidFill>
        </a:ln>
      </xdr:spPr>
      <xdr:style>
        <a:lnRef idx="0">
          <a:schemeClr val="accent1"/>
        </a:lnRef>
        <a:fillRef idx="3">
          <a:schemeClr val="accent1"/>
        </a:fillRef>
        <a:effectRef idx="3">
          <a:schemeClr val="accent1"/>
        </a:effectRef>
        <a:fontRef idx="minor">
          <a:schemeClr val="lt1"/>
        </a:fontRef>
      </xdr:style>
      <xdr:txBody>
        <a:bodyPr vertOverflow="clip" horzOverflow="clip" wrap="square" rtlCol="0" anchor="ctr"/>
        <a:lstStyle/>
        <a:p>
          <a:pPr algn="ctr"/>
          <a:r>
            <a:rPr lang="en-US" sz="2400" b="1">
              <a:solidFill>
                <a:schemeClr val="tx1"/>
              </a:solidFill>
            </a:rPr>
            <a:t>Instructions</a:t>
          </a:r>
        </a:p>
        <a:p>
          <a:pPr algn="ctr"/>
          <a:r>
            <a:rPr lang="en-US" sz="1200" b="1">
              <a:solidFill>
                <a:schemeClr val="tx1"/>
              </a:solidFill>
            </a:rPr>
            <a:t>Solve the following problem: As new data are entered and the list in columns B through J grows longer, how do you get the pension report (specifically, the cells beginning in columns P and Y containing the Last Name, First Name, Address, Phone, City, State, Zip, Plan and Balance data) to automatically display the last row of data as the data continues to grow? Send your solution</a:t>
          </a:r>
          <a:r>
            <a:rPr lang="en-US" sz="1200" b="1" baseline="0">
              <a:solidFill>
                <a:schemeClr val="tx1"/>
              </a:solidFill>
            </a:rPr>
            <a:t> to me at  </a:t>
          </a:r>
          <a:r>
            <a:rPr lang="en-US" sz="1200" b="1">
              <a:solidFill>
                <a:schemeClr val="tx1"/>
              </a:solidFill>
            </a:rPr>
            <a:t>J. Carlton Collins (carlton@asaresearch.com)  </a:t>
          </a:r>
          <a:endParaRPr lang="en-US" sz="1000"/>
        </a:p>
      </xdr:txBody>
    </xdr:sp>
    <xdr:clientData/>
  </xdr:twoCellAnchor>
  <xdr:twoCellAnchor>
    <xdr:from>
      <xdr:col>16</xdr:col>
      <xdr:colOff>0</xdr:colOff>
      <xdr:row>0</xdr:row>
      <xdr:rowOff>0</xdr:rowOff>
    </xdr:from>
    <xdr:to>
      <xdr:col>24</xdr:col>
      <xdr:colOff>38100</xdr:colOff>
      <xdr:row>1</xdr:row>
      <xdr:rowOff>57150</xdr:rowOff>
    </xdr:to>
    <xdr:sp macro="" textlink="">
      <xdr:nvSpPr>
        <xdr:cNvPr id="3" name="TextBox 2">
          <a:hlinkClick xmlns:r="http://schemas.openxmlformats.org/officeDocument/2006/relationships" r:id="rId1"/>
        </xdr:cNvPr>
        <xdr:cNvSpPr txBox="1"/>
      </xdr:nvSpPr>
      <xdr:spPr>
        <a:xfrm>
          <a:off x="9239250" y="0"/>
          <a:ext cx="2247900" cy="257175"/>
        </a:xfrm>
        <a:prstGeom prst="rect">
          <a:avLst/>
        </a:prstGeom>
        <a:solidFill>
          <a:srgbClr val="FF0000"/>
        </a:solidFill>
        <a:ln/>
        <a:scene3d>
          <a:camera prst="orthographicFront"/>
          <a:lightRig rig="threePt" dir="t"/>
        </a:scene3d>
        <a:sp3d>
          <a:bevelT/>
        </a:sp3d>
      </xdr:spPr>
      <xdr:style>
        <a:lnRef idx="0">
          <a:schemeClr val="accent1"/>
        </a:lnRef>
        <a:fillRef idx="3">
          <a:schemeClr val="accent1"/>
        </a:fillRef>
        <a:effectRef idx="3">
          <a:schemeClr val="accent1"/>
        </a:effectRef>
        <a:fontRef idx="minor">
          <a:schemeClr val="lt1"/>
        </a:fontRef>
      </xdr:style>
      <xdr:txBody>
        <a:bodyPr vertOverflow="clip" horzOverflow="clip" wrap="square" rtlCol="0" anchor="ctr"/>
        <a:lstStyle/>
        <a:p>
          <a:pPr algn="ctr"/>
          <a:r>
            <a:rPr lang="en-US" sz="1200" b="1"/>
            <a:t>Return to Summary Worksheet</a:t>
          </a:r>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11</xdr:col>
      <xdr:colOff>276226</xdr:colOff>
      <xdr:row>19</xdr:row>
      <xdr:rowOff>161925</xdr:rowOff>
    </xdr:from>
    <xdr:to>
      <xdr:col>31</xdr:col>
      <xdr:colOff>257177</xdr:colOff>
      <xdr:row>27</xdr:row>
      <xdr:rowOff>133350</xdr:rowOff>
    </xdr:to>
    <xdr:sp macro="" textlink="">
      <xdr:nvSpPr>
        <xdr:cNvPr id="2" name="TextBox 1"/>
        <xdr:cNvSpPr txBox="1"/>
      </xdr:nvSpPr>
      <xdr:spPr>
        <a:xfrm>
          <a:off x="8124826" y="4010025"/>
          <a:ext cx="5514976" cy="1571625"/>
        </a:xfrm>
        <a:prstGeom prst="rect">
          <a:avLst/>
        </a:prstGeom>
        <a:ln>
          <a:solidFill>
            <a:sysClr val="windowText" lastClr="000000"/>
          </a:solidFill>
        </a:ln>
      </xdr:spPr>
      <xdr:style>
        <a:lnRef idx="0">
          <a:schemeClr val="accent1"/>
        </a:lnRef>
        <a:fillRef idx="3">
          <a:schemeClr val="accent1"/>
        </a:fillRef>
        <a:effectRef idx="3">
          <a:schemeClr val="accent1"/>
        </a:effectRef>
        <a:fontRef idx="minor">
          <a:schemeClr val="lt1"/>
        </a:fontRef>
      </xdr:style>
      <xdr:txBody>
        <a:bodyPr vertOverflow="clip" horzOverflow="clip" wrap="square" rtlCol="0" anchor="ctr"/>
        <a:lstStyle/>
        <a:p>
          <a:pPr algn="ctr"/>
          <a:r>
            <a:rPr lang="en-US" sz="2400" b="1">
              <a:solidFill>
                <a:schemeClr val="tx1"/>
              </a:solidFill>
            </a:rPr>
            <a:t>Instructions</a:t>
          </a:r>
        </a:p>
        <a:p>
          <a:pPr algn="ctr"/>
          <a:r>
            <a:rPr lang="en-US" sz="1200" b="1">
              <a:solidFill>
                <a:schemeClr val="tx1"/>
              </a:solidFill>
            </a:rPr>
            <a:t>Solve the following problem: As new data are entered and the list in columns B through J grows longer, how do you get the pension report (specifically, the cells beginning in columns P and Y containing the Last Name, First Name, Address, Phone, City, State, Zip, Plan and Balance data) to automatically display the last row of data as the data continues to grow? Send your solution</a:t>
          </a:r>
          <a:r>
            <a:rPr lang="en-US" sz="1200" b="1" baseline="0">
              <a:solidFill>
                <a:schemeClr val="tx1"/>
              </a:solidFill>
            </a:rPr>
            <a:t> to me at  </a:t>
          </a:r>
          <a:r>
            <a:rPr lang="en-US" sz="1200" b="1">
              <a:solidFill>
                <a:schemeClr val="tx1"/>
              </a:solidFill>
            </a:rPr>
            <a:t>J. Carlton Collins (carlton@asaresearch.com)  </a:t>
          </a:r>
          <a:endParaRPr lang="en-US" sz="1000"/>
        </a:p>
      </xdr:txBody>
    </xdr:sp>
    <xdr:clientData/>
  </xdr:twoCellAnchor>
  <xdr:twoCellAnchor>
    <xdr:from>
      <xdr:col>23</xdr:col>
      <xdr:colOff>0</xdr:colOff>
      <xdr:row>0</xdr:row>
      <xdr:rowOff>0</xdr:rowOff>
    </xdr:from>
    <xdr:to>
      <xdr:col>31</xdr:col>
      <xdr:colOff>38100</xdr:colOff>
      <xdr:row>1</xdr:row>
      <xdr:rowOff>47625</xdr:rowOff>
    </xdr:to>
    <xdr:sp macro="" textlink="">
      <xdr:nvSpPr>
        <xdr:cNvPr id="3" name="TextBox 2">
          <a:hlinkClick xmlns:r="http://schemas.openxmlformats.org/officeDocument/2006/relationships" r:id="rId1"/>
        </xdr:cNvPr>
        <xdr:cNvSpPr txBox="1"/>
      </xdr:nvSpPr>
      <xdr:spPr>
        <a:xfrm>
          <a:off x="11401425" y="0"/>
          <a:ext cx="2247900" cy="257175"/>
        </a:xfrm>
        <a:prstGeom prst="rect">
          <a:avLst/>
        </a:prstGeom>
        <a:solidFill>
          <a:srgbClr val="FF0000"/>
        </a:solidFill>
        <a:ln/>
        <a:scene3d>
          <a:camera prst="orthographicFront"/>
          <a:lightRig rig="threePt" dir="t"/>
        </a:scene3d>
        <a:sp3d>
          <a:bevelT/>
        </a:sp3d>
      </xdr:spPr>
      <xdr:style>
        <a:lnRef idx="0">
          <a:schemeClr val="accent1"/>
        </a:lnRef>
        <a:fillRef idx="3">
          <a:schemeClr val="accent1"/>
        </a:fillRef>
        <a:effectRef idx="3">
          <a:schemeClr val="accent1"/>
        </a:effectRef>
        <a:fontRef idx="minor">
          <a:schemeClr val="lt1"/>
        </a:fontRef>
      </xdr:style>
      <xdr:txBody>
        <a:bodyPr vertOverflow="clip" horzOverflow="clip" wrap="square" rtlCol="0" anchor="ctr"/>
        <a:lstStyle/>
        <a:p>
          <a:pPr algn="ctr"/>
          <a:r>
            <a:rPr lang="en-US" sz="1200" b="1"/>
            <a:t>Return to Summary Worksheet</a:t>
          </a: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11</xdr:col>
      <xdr:colOff>276226</xdr:colOff>
      <xdr:row>17</xdr:row>
      <xdr:rowOff>161925</xdr:rowOff>
    </xdr:from>
    <xdr:to>
      <xdr:col>31</xdr:col>
      <xdr:colOff>257177</xdr:colOff>
      <xdr:row>25</xdr:row>
      <xdr:rowOff>133350</xdr:rowOff>
    </xdr:to>
    <xdr:sp macro="" textlink="">
      <xdr:nvSpPr>
        <xdr:cNvPr id="2" name="TextBox 1"/>
        <xdr:cNvSpPr txBox="1"/>
      </xdr:nvSpPr>
      <xdr:spPr>
        <a:xfrm>
          <a:off x="8077201" y="3581400"/>
          <a:ext cx="5514976" cy="1571625"/>
        </a:xfrm>
        <a:prstGeom prst="rect">
          <a:avLst/>
        </a:prstGeom>
        <a:ln>
          <a:solidFill>
            <a:sysClr val="windowText" lastClr="000000"/>
          </a:solidFill>
        </a:ln>
      </xdr:spPr>
      <xdr:style>
        <a:lnRef idx="0">
          <a:schemeClr val="accent1"/>
        </a:lnRef>
        <a:fillRef idx="3">
          <a:schemeClr val="accent1"/>
        </a:fillRef>
        <a:effectRef idx="3">
          <a:schemeClr val="accent1"/>
        </a:effectRef>
        <a:fontRef idx="minor">
          <a:schemeClr val="lt1"/>
        </a:fontRef>
      </xdr:style>
      <xdr:txBody>
        <a:bodyPr vertOverflow="clip" horzOverflow="clip" wrap="square" rtlCol="0" anchor="ctr"/>
        <a:lstStyle/>
        <a:p>
          <a:pPr algn="ctr"/>
          <a:r>
            <a:rPr lang="en-US" sz="2400" b="1">
              <a:solidFill>
                <a:schemeClr val="tx1"/>
              </a:solidFill>
            </a:rPr>
            <a:t>Instructions</a:t>
          </a:r>
        </a:p>
        <a:p>
          <a:pPr algn="ctr"/>
          <a:r>
            <a:rPr lang="en-US" sz="1200" b="1">
              <a:solidFill>
                <a:schemeClr val="tx1"/>
              </a:solidFill>
            </a:rPr>
            <a:t>Solve the following problem: As new data are entered and the list in columns B through J grows longer, how do you get the pension report (specifically, the cells beginning in columns P and Y containing the Last Name, First Name, Address, Phone, City, State, Zip, Plan and Balance data) to automatically display the last row of data as the data continues to grow? Send your solution</a:t>
          </a:r>
          <a:r>
            <a:rPr lang="en-US" sz="1200" b="1" baseline="0">
              <a:solidFill>
                <a:schemeClr val="tx1"/>
              </a:solidFill>
            </a:rPr>
            <a:t> to me at  </a:t>
          </a:r>
          <a:r>
            <a:rPr lang="en-US" sz="1200" b="1">
              <a:solidFill>
                <a:schemeClr val="tx1"/>
              </a:solidFill>
            </a:rPr>
            <a:t>J. Carlton Collins (carlton@asaresearch.com)  </a:t>
          </a:r>
          <a:endParaRPr lang="en-US" sz="1000"/>
        </a:p>
      </xdr:txBody>
    </xdr:sp>
    <xdr:clientData/>
  </xdr:twoCellAnchor>
  <xdr:twoCellAnchor>
    <xdr:from>
      <xdr:col>16</xdr:col>
      <xdr:colOff>0</xdr:colOff>
      <xdr:row>0</xdr:row>
      <xdr:rowOff>0</xdr:rowOff>
    </xdr:from>
    <xdr:to>
      <xdr:col>24</xdr:col>
      <xdr:colOff>38100</xdr:colOff>
      <xdr:row>1</xdr:row>
      <xdr:rowOff>57150</xdr:rowOff>
    </xdr:to>
    <xdr:sp macro="" textlink="">
      <xdr:nvSpPr>
        <xdr:cNvPr id="3" name="TextBox 2">
          <a:hlinkClick xmlns:r="http://schemas.openxmlformats.org/officeDocument/2006/relationships" r:id="rId1"/>
        </xdr:cNvPr>
        <xdr:cNvSpPr txBox="1"/>
      </xdr:nvSpPr>
      <xdr:spPr>
        <a:xfrm>
          <a:off x="9191625" y="0"/>
          <a:ext cx="2247900" cy="257175"/>
        </a:xfrm>
        <a:prstGeom prst="rect">
          <a:avLst/>
        </a:prstGeom>
        <a:solidFill>
          <a:srgbClr val="FF0000"/>
        </a:solidFill>
        <a:ln/>
        <a:scene3d>
          <a:camera prst="orthographicFront"/>
          <a:lightRig rig="threePt" dir="t"/>
        </a:scene3d>
        <a:sp3d>
          <a:bevelT/>
        </a:sp3d>
      </xdr:spPr>
      <xdr:style>
        <a:lnRef idx="0">
          <a:schemeClr val="accent1"/>
        </a:lnRef>
        <a:fillRef idx="3">
          <a:schemeClr val="accent1"/>
        </a:fillRef>
        <a:effectRef idx="3">
          <a:schemeClr val="accent1"/>
        </a:effectRef>
        <a:fontRef idx="minor">
          <a:schemeClr val="lt1"/>
        </a:fontRef>
      </xdr:style>
      <xdr:txBody>
        <a:bodyPr vertOverflow="clip" horzOverflow="clip" wrap="square" rtlCol="0" anchor="ctr"/>
        <a:lstStyle/>
        <a:p>
          <a:pPr algn="ctr"/>
          <a:r>
            <a:rPr lang="en-US" sz="1200" b="1"/>
            <a:t>Return to Summary Worksheet</a:t>
          </a:r>
        </a:p>
      </xdr:txBody>
    </xdr:sp>
    <xdr:clientData/>
  </xdr:twoCellAnchor>
</xdr:wsDr>
</file>

<file path=xl/drawings/drawing36.xml><?xml version="1.0" encoding="utf-8"?>
<xdr:wsDr xmlns:xdr="http://schemas.openxmlformats.org/drawingml/2006/spreadsheetDrawing" xmlns:a="http://schemas.openxmlformats.org/drawingml/2006/main">
  <xdr:twoCellAnchor>
    <xdr:from>
      <xdr:col>10</xdr:col>
      <xdr:colOff>276226</xdr:colOff>
      <xdr:row>17</xdr:row>
      <xdr:rowOff>161925</xdr:rowOff>
    </xdr:from>
    <xdr:to>
      <xdr:col>30</xdr:col>
      <xdr:colOff>257177</xdr:colOff>
      <xdr:row>25</xdr:row>
      <xdr:rowOff>133350</xdr:rowOff>
    </xdr:to>
    <xdr:sp macro="" textlink="">
      <xdr:nvSpPr>
        <xdr:cNvPr id="2" name="TextBox 1"/>
        <xdr:cNvSpPr txBox="1"/>
      </xdr:nvSpPr>
      <xdr:spPr>
        <a:xfrm>
          <a:off x="8124826" y="3581400"/>
          <a:ext cx="5514976" cy="1571625"/>
        </a:xfrm>
        <a:prstGeom prst="rect">
          <a:avLst/>
        </a:prstGeom>
        <a:ln>
          <a:solidFill>
            <a:sysClr val="windowText" lastClr="000000"/>
          </a:solidFill>
        </a:ln>
      </xdr:spPr>
      <xdr:style>
        <a:lnRef idx="0">
          <a:schemeClr val="accent1"/>
        </a:lnRef>
        <a:fillRef idx="3">
          <a:schemeClr val="accent1"/>
        </a:fillRef>
        <a:effectRef idx="3">
          <a:schemeClr val="accent1"/>
        </a:effectRef>
        <a:fontRef idx="minor">
          <a:schemeClr val="lt1"/>
        </a:fontRef>
      </xdr:style>
      <xdr:txBody>
        <a:bodyPr vertOverflow="clip" horzOverflow="clip" wrap="square" rtlCol="0" anchor="ctr"/>
        <a:lstStyle/>
        <a:p>
          <a:pPr algn="ctr"/>
          <a:r>
            <a:rPr lang="en-US" sz="2400" b="1">
              <a:solidFill>
                <a:schemeClr val="tx1"/>
              </a:solidFill>
            </a:rPr>
            <a:t>Instructions</a:t>
          </a:r>
        </a:p>
        <a:p>
          <a:pPr algn="ctr"/>
          <a:r>
            <a:rPr lang="en-US" sz="1200" b="1">
              <a:solidFill>
                <a:schemeClr val="tx1"/>
              </a:solidFill>
            </a:rPr>
            <a:t>Solve the following problem: As new data are entered and the list in columns B through J grows longer, how do you get the pension report (specifically, the cells beginning in columns P and Y containing the Last Name, First Name, Address, Phone, City, State, Zip, Plan and Balance data) to automatically display the last row of data as the data continues to grow? Send your solution</a:t>
          </a:r>
          <a:r>
            <a:rPr lang="en-US" sz="1200" b="1" baseline="0">
              <a:solidFill>
                <a:schemeClr val="tx1"/>
              </a:solidFill>
            </a:rPr>
            <a:t> to me at  </a:t>
          </a:r>
          <a:r>
            <a:rPr lang="en-US" sz="1200" b="1">
              <a:solidFill>
                <a:schemeClr val="tx1"/>
              </a:solidFill>
            </a:rPr>
            <a:t>J. Carlton Collins (carlton@asaresearch.com)  </a:t>
          </a:r>
          <a:endParaRPr lang="en-US" sz="1000"/>
        </a:p>
      </xdr:txBody>
    </xdr:sp>
    <xdr:clientData/>
  </xdr:twoCellAnchor>
  <xdr:twoCellAnchor>
    <xdr:from>
      <xdr:col>16</xdr:col>
      <xdr:colOff>0</xdr:colOff>
      <xdr:row>0</xdr:row>
      <xdr:rowOff>0</xdr:rowOff>
    </xdr:from>
    <xdr:to>
      <xdr:col>24</xdr:col>
      <xdr:colOff>38100</xdr:colOff>
      <xdr:row>1</xdr:row>
      <xdr:rowOff>57150</xdr:rowOff>
    </xdr:to>
    <xdr:sp macro="" textlink="">
      <xdr:nvSpPr>
        <xdr:cNvPr id="3" name="TextBox 2">
          <a:hlinkClick xmlns:r="http://schemas.openxmlformats.org/officeDocument/2006/relationships" r:id="rId1"/>
        </xdr:cNvPr>
        <xdr:cNvSpPr txBox="1"/>
      </xdr:nvSpPr>
      <xdr:spPr>
        <a:xfrm>
          <a:off x="9601200" y="0"/>
          <a:ext cx="2247900" cy="257175"/>
        </a:xfrm>
        <a:prstGeom prst="rect">
          <a:avLst/>
        </a:prstGeom>
        <a:solidFill>
          <a:srgbClr val="FF0000"/>
        </a:solidFill>
        <a:ln/>
        <a:scene3d>
          <a:camera prst="orthographicFront"/>
          <a:lightRig rig="threePt" dir="t"/>
        </a:scene3d>
        <a:sp3d>
          <a:bevelT/>
        </a:sp3d>
      </xdr:spPr>
      <xdr:style>
        <a:lnRef idx="0">
          <a:schemeClr val="accent1"/>
        </a:lnRef>
        <a:fillRef idx="3">
          <a:schemeClr val="accent1"/>
        </a:fillRef>
        <a:effectRef idx="3">
          <a:schemeClr val="accent1"/>
        </a:effectRef>
        <a:fontRef idx="minor">
          <a:schemeClr val="lt1"/>
        </a:fontRef>
      </xdr:style>
      <xdr:txBody>
        <a:bodyPr vertOverflow="clip" horzOverflow="clip" wrap="square" rtlCol="0" anchor="ctr"/>
        <a:lstStyle/>
        <a:p>
          <a:pPr algn="ctr"/>
          <a:r>
            <a:rPr lang="en-US" sz="1200" b="1"/>
            <a:t>Return to Summary Worksheet</a:t>
          </a:r>
        </a:p>
      </xdr:txBody>
    </xdr:sp>
    <xdr:clientData/>
  </xdr:twoCellAnchor>
</xdr:wsDr>
</file>

<file path=xl/drawings/drawing37.xml><?xml version="1.0" encoding="utf-8"?>
<xdr:wsDr xmlns:xdr="http://schemas.openxmlformats.org/drawingml/2006/spreadsheetDrawing" xmlns:a="http://schemas.openxmlformats.org/drawingml/2006/main">
  <xdr:twoCellAnchor>
    <xdr:from>
      <xdr:col>10</xdr:col>
      <xdr:colOff>276226</xdr:colOff>
      <xdr:row>17</xdr:row>
      <xdr:rowOff>161925</xdr:rowOff>
    </xdr:from>
    <xdr:to>
      <xdr:col>30</xdr:col>
      <xdr:colOff>257177</xdr:colOff>
      <xdr:row>25</xdr:row>
      <xdr:rowOff>133350</xdr:rowOff>
    </xdr:to>
    <xdr:sp macro="" textlink="">
      <xdr:nvSpPr>
        <xdr:cNvPr id="2" name="TextBox 1"/>
        <xdr:cNvSpPr txBox="1"/>
      </xdr:nvSpPr>
      <xdr:spPr>
        <a:xfrm>
          <a:off x="8077201" y="3581400"/>
          <a:ext cx="5724526" cy="1571625"/>
        </a:xfrm>
        <a:prstGeom prst="rect">
          <a:avLst/>
        </a:prstGeom>
        <a:ln>
          <a:solidFill>
            <a:sysClr val="windowText" lastClr="000000"/>
          </a:solidFill>
        </a:ln>
      </xdr:spPr>
      <xdr:style>
        <a:lnRef idx="0">
          <a:schemeClr val="accent1"/>
        </a:lnRef>
        <a:fillRef idx="3">
          <a:schemeClr val="accent1"/>
        </a:fillRef>
        <a:effectRef idx="3">
          <a:schemeClr val="accent1"/>
        </a:effectRef>
        <a:fontRef idx="minor">
          <a:schemeClr val="lt1"/>
        </a:fontRef>
      </xdr:style>
      <xdr:txBody>
        <a:bodyPr vertOverflow="clip" horzOverflow="clip" wrap="square" rtlCol="0" anchor="ctr"/>
        <a:lstStyle/>
        <a:p>
          <a:pPr algn="ctr"/>
          <a:r>
            <a:rPr lang="en-US" sz="2400" b="1">
              <a:solidFill>
                <a:schemeClr val="tx1"/>
              </a:solidFill>
            </a:rPr>
            <a:t>Instructions</a:t>
          </a:r>
        </a:p>
        <a:p>
          <a:pPr algn="ctr"/>
          <a:r>
            <a:rPr lang="en-US" sz="1200" b="1">
              <a:solidFill>
                <a:schemeClr val="tx1"/>
              </a:solidFill>
            </a:rPr>
            <a:t>Solve the following problem: As new data are entered and the list in columns B through J grows longer, how do you get the pension report (specifically, the cells beginning in columns P and Y containing the Last Name, First Name, Address, Phone, City, State, Zip, Plan and Balance data) to automatically display the last row of data as the data continues to grow? Send your solution</a:t>
          </a:r>
          <a:r>
            <a:rPr lang="en-US" sz="1200" b="1" baseline="0">
              <a:solidFill>
                <a:schemeClr val="tx1"/>
              </a:solidFill>
            </a:rPr>
            <a:t> to me at  </a:t>
          </a:r>
          <a:r>
            <a:rPr lang="en-US" sz="1200" b="1">
              <a:solidFill>
                <a:schemeClr val="tx1"/>
              </a:solidFill>
            </a:rPr>
            <a:t>J. Carlton Collins (carlton@asaresearch.com)  </a:t>
          </a:r>
          <a:endParaRPr lang="en-US" sz="1000"/>
        </a:p>
      </xdr:txBody>
    </xdr:sp>
    <xdr:clientData/>
  </xdr:twoCellAnchor>
  <xdr:twoCellAnchor>
    <xdr:from>
      <xdr:col>16</xdr:col>
      <xdr:colOff>0</xdr:colOff>
      <xdr:row>0</xdr:row>
      <xdr:rowOff>0</xdr:rowOff>
    </xdr:from>
    <xdr:to>
      <xdr:col>24</xdr:col>
      <xdr:colOff>38100</xdr:colOff>
      <xdr:row>1</xdr:row>
      <xdr:rowOff>57150</xdr:rowOff>
    </xdr:to>
    <xdr:sp macro="" textlink="">
      <xdr:nvSpPr>
        <xdr:cNvPr id="3" name="TextBox 2">
          <a:hlinkClick xmlns:r="http://schemas.openxmlformats.org/officeDocument/2006/relationships" r:id="rId1"/>
        </xdr:cNvPr>
        <xdr:cNvSpPr txBox="1"/>
      </xdr:nvSpPr>
      <xdr:spPr>
        <a:xfrm>
          <a:off x="9467850" y="0"/>
          <a:ext cx="2247900" cy="257175"/>
        </a:xfrm>
        <a:prstGeom prst="rect">
          <a:avLst/>
        </a:prstGeom>
        <a:solidFill>
          <a:srgbClr val="FF0000"/>
        </a:solidFill>
        <a:ln/>
        <a:scene3d>
          <a:camera prst="orthographicFront"/>
          <a:lightRig rig="threePt" dir="t"/>
        </a:scene3d>
        <a:sp3d>
          <a:bevelT/>
        </a:sp3d>
      </xdr:spPr>
      <xdr:style>
        <a:lnRef idx="0">
          <a:schemeClr val="accent1"/>
        </a:lnRef>
        <a:fillRef idx="3">
          <a:schemeClr val="accent1"/>
        </a:fillRef>
        <a:effectRef idx="3">
          <a:schemeClr val="accent1"/>
        </a:effectRef>
        <a:fontRef idx="minor">
          <a:schemeClr val="lt1"/>
        </a:fontRef>
      </xdr:style>
      <xdr:txBody>
        <a:bodyPr vertOverflow="clip" horzOverflow="clip" wrap="square" rtlCol="0" anchor="ctr"/>
        <a:lstStyle/>
        <a:p>
          <a:pPr algn="ctr"/>
          <a:r>
            <a:rPr lang="en-US" sz="1200" b="1"/>
            <a:t>Return to Summary Worksheet</a:t>
          </a:r>
        </a:p>
      </xdr:txBody>
    </xdr:sp>
    <xdr:clientData/>
  </xdr:twoCellAnchor>
</xdr:wsDr>
</file>

<file path=xl/drawings/drawing38.xml><?xml version="1.0" encoding="utf-8"?>
<xdr:wsDr xmlns:xdr="http://schemas.openxmlformats.org/drawingml/2006/spreadsheetDrawing" xmlns:a="http://schemas.openxmlformats.org/drawingml/2006/main">
  <xdr:twoCellAnchor>
    <xdr:from>
      <xdr:col>10</xdr:col>
      <xdr:colOff>276226</xdr:colOff>
      <xdr:row>17</xdr:row>
      <xdr:rowOff>161925</xdr:rowOff>
    </xdr:from>
    <xdr:to>
      <xdr:col>30</xdr:col>
      <xdr:colOff>257177</xdr:colOff>
      <xdr:row>25</xdr:row>
      <xdr:rowOff>133350</xdr:rowOff>
    </xdr:to>
    <xdr:sp macro="" textlink="">
      <xdr:nvSpPr>
        <xdr:cNvPr id="2" name="TextBox 1"/>
        <xdr:cNvSpPr txBox="1"/>
      </xdr:nvSpPr>
      <xdr:spPr>
        <a:xfrm>
          <a:off x="8077201" y="3581400"/>
          <a:ext cx="5972176" cy="1571625"/>
        </a:xfrm>
        <a:prstGeom prst="rect">
          <a:avLst/>
        </a:prstGeom>
        <a:ln>
          <a:solidFill>
            <a:sysClr val="windowText" lastClr="000000"/>
          </a:solidFill>
        </a:ln>
      </xdr:spPr>
      <xdr:style>
        <a:lnRef idx="0">
          <a:schemeClr val="accent1"/>
        </a:lnRef>
        <a:fillRef idx="3">
          <a:schemeClr val="accent1"/>
        </a:fillRef>
        <a:effectRef idx="3">
          <a:schemeClr val="accent1"/>
        </a:effectRef>
        <a:fontRef idx="minor">
          <a:schemeClr val="lt1"/>
        </a:fontRef>
      </xdr:style>
      <xdr:txBody>
        <a:bodyPr vertOverflow="clip" horzOverflow="clip" wrap="square" rtlCol="0" anchor="ctr"/>
        <a:lstStyle/>
        <a:p>
          <a:pPr algn="ctr"/>
          <a:r>
            <a:rPr lang="en-US" sz="2400" b="1">
              <a:solidFill>
                <a:schemeClr val="tx1"/>
              </a:solidFill>
            </a:rPr>
            <a:t>Instructions</a:t>
          </a:r>
        </a:p>
        <a:p>
          <a:pPr algn="ctr"/>
          <a:r>
            <a:rPr lang="en-US" sz="1200" b="1">
              <a:solidFill>
                <a:schemeClr val="tx1"/>
              </a:solidFill>
            </a:rPr>
            <a:t>Solve the following problem: As new data are entered and the list in columns B through J grows longer, how do you get the pension report (specifically, the cells beginning in columns P and Y containing the Last Name, First Name, Address, Phone, City, State, Zip, Plan and Balance data) to automatically display the last row of data as the data continues to grow? Send your solution</a:t>
          </a:r>
          <a:r>
            <a:rPr lang="en-US" sz="1200" b="1" baseline="0">
              <a:solidFill>
                <a:schemeClr val="tx1"/>
              </a:solidFill>
            </a:rPr>
            <a:t> to me at  </a:t>
          </a:r>
          <a:r>
            <a:rPr lang="en-US" sz="1200" b="1">
              <a:solidFill>
                <a:schemeClr val="tx1"/>
              </a:solidFill>
            </a:rPr>
            <a:t>J. Carlton Collins (carlton@asaresearch.com)  </a:t>
          </a:r>
          <a:endParaRPr lang="en-US" sz="1000"/>
        </a:p>
      </xdr:txBody>
    </xdr:sp>
    <xdr:clientData/>
  </xdr:twoCellAnchor>
  <xdr:twoCellAnchor>
    <xdr:from>
      <xdr:col>16</xdr:col>
      <xdr:colOff>0</xdr:colOff>
      <xdr:row>0</xdr:row>
      <xdr:rowOff>0</xdr:rowOff>
    </xdr:from>
    <xdr:to>
      <xdr:col>24</xdr:col>
      <xdr:colOff>38100</xdr:colOff>
      <xdr:row>1</xdr:row>
      <xdr:rowOff>57150</xdr:rowOff>
    </xdr:to>
    <xdr:sp macro="" textlink="">
      <xdr:nvSpPr>
        <xdr:cNvPr id="3" name="TextBox 2">
          <a:hlinkClick xmlns:r="http://schemas.openxmlformats.org/officeDocument/2006/relationships" r:id="rId1"/>
        </xdr:cNvPr>
        <xdr:cNvSpPr txBox="1"/>
      </xdr:nvSpPr>
      <xdr:spPr>
        <a:xfrm>
          <a:off x="9467850" y="0"/>
          <a:ext cx="2247900" cy="257175"/>
        </a:xfrm>
        <a:prstGeom prst="rect">
          <a:avLst/>
        </a:prstGeom>
        <a:solidFill>
          <a:srgbClr val="FF0000"/>
        </a:solidFill>
        <a:ln/>
        <a:scene3d>
          <a:camera prst="orthographicFront"/>
          <a:lightRig rig="threePt" dir="t"/>
        </a:scene3d>
        <a:sp3d>
          <a:bevelT/>
        </a:sp3d>
      </xdr:spPr>
      <xdr:style>
        <a:lnRef idx="0">
          <a:schemeClr val="accent1"/>
        </a:lnRef>
        <a:fillRef idx="3">
          <a:schemeClr val="accent1"/>
        </a:fillRef>
        <a:effectRef idx="3">
          <a:schemeClr val="accent1"/>
        </a:effectRef>
        <a:fontRef idx="minor">
          <a:schemeClr val="lt1"/>
        </a:fontRef>
      </xdr:style>
      <xdr:txBody>
        <a:bodyPr vertOverflow="clip" horzOverflow="clip" wrap="square" rtlCol="0" anchor="ctr"/>
        <a:lstStyle/>
        <a:p>
          <a:pPr algn="ctr"/>
          <a:r>
            <a:rPr lang="en-US" sz="1200" b="1"/>
            <a:t>Return to Summary Worksheet</a:t>
          </a:r>
        </a:p>
      </xdr:txBody>
    </xdr:sp>
    <xdr:clientData/>
  </xdr:twoCellAnchor>
</xdr:wsDr>
</file>

<file path=xl/drawings/drawing39.xml><?xml version="1.0" encoding="utf-8"?>
<xdr:wsDr xmlns:xdr="http://schemas.openxmlformats.org/drawingml/2006/spreadsheetDrawing" xmlns:a="http://schemas.openxmlformats.org/drawingml/2006/main">
  <xdr:twoCellAnchor>
    <xdr:from>
      <xdr:col>10</xdr:col>
      <xdr:colOff>276226</xdr:colOff>
      <xdr:row>17</xdr:row>
      <xdr:rowOff>161925</xdr:rowOff>
    </xdr:from>
    <xdr:to>
      <xdr:col>30</xdr:col>
      <xdr:colOff>257177</xdr:colOff>
      <xdr:row>25</xdr:row>
      <xdr:rowOff>133350</xdr:rowOff>
    </xdr:to>
    <xdr:sp macro="" textlink="">
      <xdr:nvSpPr>
        <xdr:cNvPr id="2" name="TextBox 1"/>
        <xdr:cNvSpPr txBox="1"/>
      </xdr:nvSpPr>
      <xdr:spPr>
        <a:xfrm>
          <a:off x="8077201" y="3581400"/>
          <a:ext cx="5972176" cy="1571625"/>
        </a:xfrm>
        <a:prstGeom prst="rect">
          <a:avLst/>
        </a:prstGeom>
        <a:ln>
          <a:solidFill>
            <a:sysClr val="windowText" lastClr="000000"/>
          </a:solidFill>
        </a:ln>
      </xdr:spPr>
      <xdr:style>
        <a:lnRef idx="0">
          <a:schemeClr val="accent1"/>
        </a:lnRef>
        <a:fillRef idx="3">
          <a:schemeClr val="accent1"/>
        </a:fillRef>
        <a:effectRef idx="3">
          <a:schemeClr val="accent1"/>
        </a:effectRef>
        <a:fontRef idx="minor">
          <a:schemeClr val="lt1"/>
        </a:fontRef>
      </xdr:style>
      <xdr:txBody>
        <a:bodyPr vertOverflow="clip" horzOverflow="clip" wrap="square" rtlCol="0" anchor="ctr"/>
        <a:lstStyle/>
        <a:p>
          <a:pPr algn="ctr"/>
          <a:r>
            <a:rPr lang="en-US" sz="2400" b="1">
              <a:solidFill>
                <a:schemeClr val="tx1"/>
              </a:solidFill>
            </a:rPr>
            <a:t>Instructions</a:t>
          </a:r>
        </a:p>
        <a:p>
          <a:pPr algn="ctr"/>
          <a:r>
            <a:rPr lang="en-US" sz="1200" b="1">
              <a:solidFill>
                <a:schemeClr val="tx1"/>
              </a:solidFill>
            </a:rPr>
            <a:t>Solve the following problem: As new data are entered and the list in columns B through J grows longer, how do you get the pension report (specifically, the cells beginning in columns P and Y containing the Last Name, First Name, Address, Phone, City, State, Zip, Plan and Balance data) to automatically display the last row of data as the data continues to grow? Send your solution</a:t>
          </a:r>
          <a:r>
            <a:rPr lang="en-US" sz="1200" b="1" baseline="0">
              <a:solidFill>
                <a:schemeClr val="tx1"/>
              </a:solidFill>
            </a:rPr>
            <a:t> to me at  </a:t>
          </a:r>
          <a:r>
            <a:rPr lang="en-US" sz="1200" b="1">
              <a:solidFill>
                <a:schemeClr val="tx1"/>
              </a:solidFill>
            </a:rPr>
            <a:t>J. Carlton Collins (carlton@asaresearch.com)  </a:t>
          </a:r>
          <a:endParaRPr lang="en-US" sz="1000"/>
        </a:p>
      </xdr:txBody>
    </xdr:sp>
    <xdr:clientData/>
  </xdr:twoCellAnchor>
  <xdr:twoCellAnchor>
    <xdr:from>
      <xdr:col>16</xdr:col>
      <xdr:colOff>0</xdr:colOff>
      <xdr:row>0</xdr:row>
      <xdr:rowOff>0</xdr:rowOff>
    </xdr:from>
    <xdr:to>
      <xdr:col>24</xdr:col>
      <xdr:colOff>38100</xdr:colOff>
      <xdr:row>1</xdr:row>
      <xdr:rowOff>57150</xdr:rowOff>
    </xdr:to>
    <xdr:sp macro="" textlink="">
      <xdr:nvSpPr>
        <xdr:cNvPr id="3" name="TextBox 2">
          <a:hlinkClick xmlns:r="http://schemas.openxmlformats.org/officeDocument/2006/relationships" r:id="rId1"/>
        </xdr:cNvPr>
        <xdr:cNvSpPr txBox="1"/>
      </xdr:nvSpPr>
      <xdr:spPr>
        <a:xfrm>
          <a:off x="9467850" y="0"/>
          <a:ext cx="2247900" cy="257175"/>
        </a:xfrm>
        <a:prstGeom prst="rect">
          <a:avLst/>
        </a:prstGeom>
        <a:solidFill>
          <a:srgbClr val="FF0000"/>
        </a:solidFill>
        <a:ln/>
        <a:scene3d>
          <a:camera prst="orthographicFront"/>
          <a:lightRig rig="threePt" dir="t"/>
        </a:scene3d>
        <a:sp3d>
          <a:bevelT/>
        </a:sp3d>
      </xdr:spPr>
      <xdr:style>
        <a:lnRef idx="0">
          <a:schemeClr val="accent1"/>
        </a:lnRef>
        <a:fillRef idx="3">
          <a:schemeClr val="accent1"/>
        </a:fillRef>
        <a:effectRef idx="3">
          <a:schemeClr val="accent1"/>
        </a:effectRef>
        <a:fontRef idx="minor">
          <a:schemeClr val="lt1"/>
        </a:fontRef>
      </xdr:style>
      <xdr:txBody>
        <a:bodyPr vertOverflow="clip" horzOverflow="clip" wrap="square" rtlCol="0" anchor="ctr"/>
        <a:lstStyle/>
        <a:p>
          <a:pPr algn="ctr"/>
          <a:r>
            <a:rPr lang="en-US" sz="1200" b="1"/>
            <a:t>Return to Summary Worksheet</a:t>
          </a:r>
        </a:p>
      </xdr:txBody>
    </xdr:sp>
    <xdr:clientData/>
  </xdr:twoCellAnchor>
</xdr:wsDr>
</file>

<file path=xl/drawings/drawing40.xml><?xml version="1.0" encoding="utf-8"?>
<xdr:wsDr xmlns:xdr="http://schemas.openxmlformats.org/drawingml/2006/spreadsheetDrawing" xmlns:a="http://schemas.openxmlformats.org/drawingml/2006/main">
  <xdr:twoCellAnchor>
    <xdr:from>
      <xdr:col>10</xdr:col>
      <xdr:colOff>276226</xdr:colOff>
      <xdr:row>17</xdr:row>
      <xdr:rowOff>161925</xdr:rowOff>
    </xdr:from>
    <xdr:to>
      <xdr:col>30</xdr:col>
      <xdr:colOff>257177</xdr:colOff>
      <xdr:row>25</xdr:row>
      <xdr:rowOff>133350</xdr:rowOff>
    </xdr:to>
    <xdr:sp macro="" textlink="">
      <xdr:nvSpPr>
        <xdr:cNvPr id="2" name="TextBox 1"/>
        <xdr:cNvSpPr txBox="1"/>
      </xdr:nvSpPr>
      <xdr:spPr>
        <a:xfrm>
          <a:off x="8077201" y="3581400"/>
          <a:ext cx="5514976" cy="1571625"/>
        </a:xfrm>
        <a:prstGeom prst="rect">
          <a:avLst/>
        </a:prstGeom>
        <a:ln>
          <a:solidFill>
            <a:sysClr val="windowText" lastClr="000000"/>
          </a:solidFill>
        </a:ln>
      </xdr:spPr>
      <xdr:style>
        <a:lnRef idx="0">
          <a:schemeClr val="accent1"/>
        </a:lnRef>
        <a:fillRef idx="3">
          <a:schemeClr val="accent1"/>
        </a:fillRef>
        <a:effectRef idx="3">
          <a:schemeClr val="accent1"/>
        </a:effectRef>
        <a:fontRef idx="minor">
          <a:schemeClr val="lt1"/>
        </a:fontRef>
      </xdr:style>
      <xdr:txBody>
        <a:bodyPr vertOverflow="clip" horzOverflow="clip" wrap="square" rtlCol="0" anchor="ctr"/>
        <a:lstStyle/>
        <a:p>
          <a:pPr algn="ctr"/>
          <a:r>
            <a:rPr lang="en-US" sz="2400" b="1">
              <a:solidFill>
                <a:schemeClr val="tx1"/>
              </a:solidFill>
            </a:rPr>
            <a:t>Instructions</a:t>
          </a:r>
        </a:p>
        <a:p>
          <a:pPr algn="ctr"/>
          <a:r>
            <a:rPr lang="en-US" sz="1200" b="1">
              <a:solidFill>
                <a:schemeClr val="tx1"/>
              </a:solidFill>
            </a:rPr>
            <a:t>Solve the following problem: As new data are entered and the list in columns B through J grows longer, how do you get the pension report (specifically, the cells beginning in columns P and Y containing the Last Name, First Name, Address, Phone, City, State, Zip, Plan and Balance data) to automatically display the last row of data as the data continues to grow? Send your solution</a:t>
          </a:r>
          <a:r>
            <a:rPr lang="en-US" sz="1200" b="1" baseline="0">
              <a:solidFill>
                <a:schemeClr val="tx1"/>
              </a:solidFill>
            </a:rPr>
            <a:t> to me at  </a:t>
          </a:r>
          <a:r>
            <a:rPr lang="en-US" sz="1200" b="1">
              <a:solidFill>
                <a:schemeClr val="tx1"/>
              </a:solidFill>
            </a:rPr>
            <a:t>J. Carlton Collins (carlton@asaresearch.com)  </a:t>
          </a:r>
          <a:endParaRPr lang="en-US" sz="1000"/>
        </a:p>
      </xdr:txBody>
    </xdr:sp>
    <xdr:clientData/>
  </xdr:twoCellAnchor>
  <xdr:twoCellAnchor>
    <xdr:from>
      <xdr:col>16</xdr:col>
      <xdr:colOff>0</xdr:colOff>
      <xdr:row>0</xdr:row>
      <xdr:rowOff>0</xdr:rowOff>
    </xdr:from>
    <xdr:to>
      <xdr:col>24</xdr:col>
      <xdr:colOff>38100</xdr:colOff>
      <xdr:row>1</xdr:row>
      <xdr:rowOff>57150</xdr:rowOff>
    </xdr:to>
    <xdr:sp macro="" textlink="">
      <xdr:nvSpPr>
        <xdr:cNvPr id="3" name="TextBox 2">
          <a:hlinkClick xmlns:r="http://schemas.openxmlformats.org/officeDocument/2006/relationships" r:id="rId1"/>
        </xdr:cNvPr>
        <xdr:cNvSpPr txBox="1"/>
      </xdr:nvSpPr>
      <xdr:spPr>
        <a:xfrm>
          <a:off x="9467850" y="0"/>
          <a:ext cx="2247900" cy="257175"/>
        </a:xfrm>
        <a:prstGeom prst="rect">
          <a:avLst/>
        </a:prstGeom>
        <a:solidFill>
          <a:srgbClr val="FF0000"/>
        </a:solidFill>
        <a:ln/>
        <a:scene3d>
          <a:camera prst="orthographicFront"/>
          <a:lightRig rig="threePt" dir="t"/>
        </a:scene3d>
        <a:sp3d>
          <a:bevelT/>
        </a:sp3d>
      </xdr:spPr>
      <xdr:style>
        <a:lnRef idx="0">
          <a:schemeClr val="accent1"/>
        </a:lnRef>
        <a:fillRef idx="3">
          <a:schemeClr val="accent1"/>
        </a:fillRef>
        <a:effectRef idx="3">
          <a:schemeClr val="accent1"/>
        </a:effectRef>
        <a:fontRef idx="minor">
          <a:schemeClr val="lt1"/>
        </a:fontRef>
      </xdr:style>
      <xdr:txBody>
        <a:bodyPr vertOverflow="clip" horzOverflow="clip" wrap="square" rtlCol="0" anchor="ctr"/>
        <a:lstStyle/>
        <a:p>
          <a:pPr algn="ctr"/>
          <a:r>
            <a:rPr lang="en-US" sz="1200" b="1"/>
            <a:t>Return to Summary Worksheet</a:t>
          </a:r>
        </a:p>
      </xdr:txBody>
    </xdr:sp>
    <xdr:clientData/>
  </xdr:twoCellAnchor>
</xdr:wsDr>
</file>

<file path=xl/drawings/drawing41.xml><?xml version="1.0" encoding="utf-8"?>
<xdr:wsDr xmlns:xdr="http://schemas.openxmlformats.org/drawingml/2006/spreadsheetDrawing" xmlns:a="http://schemas.openxmlformats.org/drawingml/2006/main">
  <xdr:twoCellAnchor>
    <xdr:from>
      <xdr:col>10</xdr:col>
      <xdr:colOff>276226</xdr:colOff>
      <xdr:row>17</xdr:row>
      <xdr:rowOff>161925</xdr:rowOff>
    </xdr:from>
    <xdr:to>
      <xdr:col>30</xdr:col>
      <xdr:colOff>257177</xdr:colOff>
      <xdr:row>25</xdr:row>
      <xdr:rowOff>133350</xdr:rowOff>
    </xdr:to>
    <xdr:sp macro="" textlink="">
      <xdr:nvSpPr>
        <xdr:cNvPr id="2" name="TextBox 1"/>
        <xdr:cNvSpPr txBox="1"/>
      </xdr:nvSpPr>
      <xdr:spPr>
        <a:xfrm>
          <a:off x="8077201" y="3581400"/>
          <a:ext cx="5514976" cy="1571625"/>
        </a:xfrm>
        <a:prstGeom prst="rect">
          <a:avLst/>
        </a:prstGeom>
        <a:ln>
          <a:solidFill>
            <a:sysClr val="windowText" lastClr="000000"/>
          </a:solidFill>
        </a:ln>
      </xdr:spPr>
      <xdr:style>
        <a:lnRef idx="0">
          <a:schemeClr val="accent1"/>
        </a:lnRef>
        <a:fillRef idx="3">
          <a:schemeClr val="accent1"/>
        </a:fillRef>
        <a:effectRef idx="3">
          <a:schemeClr val="accent1"/>
        </a:effectRef>
        <a:fontRef idx="minor">
          <a:schemeClr val="lt1"/>
        </a:fontRef>
      </xdr:style>
      <xdr:txBody>
        <a:bodyPr vertOverflow="clip" horzOverflow="clip" wrap="square" rtlCol="0" anchor="ctr"/>
        <a:lstStyle/>
        <a:p>
          <a:pPr algn="ctr"/>
          <a:r>
            <a:rPr lang="en-US" sz="2400" b="1">
              <a:solidFill>
                <a:schemeClr val="tx1"/>
              </a:solidFill>
            </a:rPr>
            <a:t>Instructions</a:t>
          </a:r>
        </a:p>
        <a:p>
          <a:pPr algn="ctr"/>
          <a:r>
            <a:rPr lang="en-US" sz="1200" b="1">
              <a:solidFill>
                <a:schemeClr val="tx1"/>
              </a:solidFill>
            </a:rPr>
            <a:t>Solve the following problem: As new data are entered and the list in columns B through J grows longer, how do you get the pension report (specifically, the cells beginning in columns P and Y containing the Last Name, First Name, Address, Phone, City, State, Zip, Plan and Balance data) to automatically display the last row of data as the data continues to grow? Send your solution</a:t>
          </a:r>
          <a:r>
            <a:rPr lang="en-US" sz="1200" b="1" baseline="0">
              <a:solidFill>
                <a:schemeClr val="tx1"/>
              </a:solidFill>
            </a:rPr>
            <a:t> to me at  </a:t>
          </a:r>
          <a:r>
            <a:rPr lang="en-US" sz="1200" b="1">
              <a:solidFill>
                <a:schemeClr val="tx1"/>
              </a:solidFill>
            </a:rPr>
            <a:t>J. Carlton Collins (carlton@asaresearch.com)  </a:t>
          </a:r>
          <a:endParaRPr lang="en-US" sz="1000"/>
        </a:p>
      </xdr:txBody>
    </xdr:sp>
    <xdr:clientData/>
  </xdr:twoCellAnchor>
  <xdr:twoCellAnchor>
    <xdr:from>
      <xdr:col>16</xdr:col>
      <xdr:colOff>0</xdr:colOff>
      <xdr:row>0</xdr:row>
      <xdr:rowOff>0</xdr:rowOff>
    </xdr:from>
    <xdr:to>
      <xdr:col>24</xdr:col>
      <xdr:colOff>38100</xdr:colOff>
      <xdr:row>1</xdr:row>
      <xdr:rowOff>57150</xdr:rowOff>
    </xdr:to>
    <xdr:sp macro="" textlink="">
      <xdr:nvSpPr>
        <xdr:cNvPr id="3" name="TextBox 2">
          <a:hlinkClick xmlns:r="http://schemas.openxmlformats.org/officeDocument/2006/relationships" r:id="rId1"/>
        </xdr:cNvPr>
        <xdr:cNvSpPr txBox="1"/>
      </xdr:nvSpPr>
      <xdr:spPr>
        <a:xfrm>
          <a:off x="9467850" y="0"/>
          <a:ext cx="2247900" cy="257175"/>
        </a:xfrm>
        <a:prstGeom prst="rect">
          <a:avLst/>
        </a:prstGeom>
        <a:solidFill>
          <a:srgbClr val="FF0000"/>
        </a:solidFill>
        <a:ln/>
        <a:scene3d>
          <a:camera prst="orthographicFront"/>
          <a:lightRig rig="threePt" dir="t"/>
        </a:scene3d>
        <a:sp3d>
          <a:bevelT/>
        </a:sp3d>
      </xdr:spPr>
      <xdr:style>
        <a:lnRef idx="0">
          <a:schemeClr val="accent1"/>
        </a:lnRef>
        <a:fillRef idx="3">
          <a:schemeClr val="accent1"/>
        </a:fillRef>
        <a:effectRef idx="3">
          <a:schemeClr val="accent1"/>
        </a:effectRef>
        <a:fontRef idx="minor">
          <a:schemeClr val="lt1"/>
        </a:fontRef>
      </xdr:style>
      <xdr:txBody>
        <a:bodyPr vertOverflow="clip" horzOverflow="clip" wrap="square" rtlCol="0" anchor="ctr"/>
        <a:lstStyle/>
        <a:p>
          <a:pPr algn="ctr"/>
          <a:r>
            <a:rPr lang="en-US" sz="1200" b="1"/>
            <a:t>Return to Summary Worksheet</a:t>
          </a:r>
        </a:p>
      </xdr:txBody>
    </xdr:sp>
    <xdr:clientData/>
  </xdr:twoCellAnchor>
</xdr:wsDr>
</file>

<file path=xl/drawings/drawing42.xml><?xml version="1.0" encoding="utf-8"?>
<xdr:wsDr xmlns:xdr="http://schemas.openxmlformats.org/drawingml/2006/spreadsheetDrawing" xmlns:a="http://schemas.openxmlformats.org/drawingml/2006/main">
  <xdr:twoCellAnchor>
    <xdr:from>
      <xdr:col>10</xdr:col>
      <xdr:colOff>276226</xdr:colOff>
      <xdr:row>17</xdr:row>
      <xdr:rowOff>161925</xdr:rowOff>
    </xdr:from>
    <xdr:to>
      <xdr:col>30</xdr:col>
      <xdr:colOff>257177</xdr:colOff>
      <xdr:row>25</xdr:row>
      <xdr:rowOff>133350</xdr:rowOff>
    </xdr:to>
    <xdr:sp macro="" textlink="">
      <xdr:nvSpPr>
        <xdr:cNvPr id="2" name="TextBox 1"/>
        <xdr:cNvSpPr txBox="1"/>
      </xdr:nvSpPr>
      <xdr:spPr>
        <a:xfrm>
          <a:off x="8077201" y="3581400"/>
          <a:ext cx="5591176" cy="1571625"/>
        </a:xfrm>
        <a:prstGeom prst="rect">
          <a:avLst/>
        </a:prstGeom>
        <a:ln>
          <a:solidFill>
            <a:sysClr val="windowText" lastClr="000000"/>
          </a:solidFill>
        </a:ln>
      </xdr:spPr>
      <xdr:style>
        <a:lnRef idx="0">
          <a:schemeClr val="accent1"/>
        </a:lnRef>
        <a:fillRef idx="3">
          <a:schemeClr val="accent1"/>
        </a:fillRef>
        <a:effectRef idx="3">
          <a:schemeClr val="accent1"/>
        </a:effectRef>
        <a:fontRef idx="minor">
          <a:schemeClr val="lt1"/>
        </a:fontRef>
      </xdr:style>
      <xdr:txBody>
        <a:bodyPr vertOverflow="clip" horzOverflow="clip" wrap="square" rtlCol="0" anchor="ctr"/>
        <a:lstStyle/>
        <a:p>
          <a:pPr algn="ctr"/>
          <a:r>
            <a:rPr lang="en-US" sz="2400" b="1">
              <a:solidFill>
                <a:schemeClr val="tx1"/>
              </a:solidFill>
            </a:rPr>
            <a:t>Instructions</a:t>
          </a:r>
        </a:p>
        <a:p>
          <a:pPr algn="ctr"/>
          <a:r>
            <a:rPr lang="en-US" sz="1200" b="1">
              <a:solidFill>
                <a:schemeClr val="tx1"/>
              </a:solidFill>
            </a:rPr>
            <a:t>Solve the following problem: As new data are entered and the list in columns B through J grows longer, how do you get the pension report (specifically, the cells beginning in columns P and Y containing the Last Name, First Name, Address, Phone, City, State, Zip, Plan and Balance data) to automatically display the last row of data as the data continues to grow? Send your solution</a:t>
          </a:r>
          <a:r>
            <a:rPr lang="en-US" sz="1200" b="1" baseline="0">
              <a:solidFill>
                <a:schemeClr val="tx1"/>
              </a:solidFill>
            </a:rPr>
            <a:t> to me at  </a:t>
          </a:r>
          <a:r>
            <a:rPr lang="en-US" sz="1200" b="1">
              <a:solidFill>
                <a:schemeClr val="tx1"/>
              </a:solidFill>
            </a:rPr>
            <a:t>J. Carlton Collins (carlton@asaresearch.com)  </a:t>
          </a:r>
          <a:endParaRPr lang="en-US" sz="1000"/>
        </a:p>
      </xdr:txBody>
    </xdr:sp>
    <xdr:clientData/>
  </xdr:twoCellAnchor>
  <xdr:twoCellAnchor>
    <xdr:from>
      <xdr:col>16</xdr:col>
      <xdr:colOff>0</xdr:colOff>
      <xdr:row>0</xdr:row>
      <xdr:rowOff>0</xdr:rowOff>
    </xdr:from>
    <xdr:to>
      <xdr:col>24</xdr:col>
      <xdr:colOff>38100</xdr:colOff>
      <xdr:row>1</xdr:row>
      <xdr:rowOff>57150</xdr:rowOff>
    </xdr:to>
    <xdr:sp macro="" textlink="">
      <xdr:nvSpPr>
        <xdr:cNvPr id="3" name="TextBox 2">
          <a:hlinkClick xmlns:r="http://schemas.openxmlformats.org/officeDocument/2006/relationships" r:id="rId1"/>
        </xdr:cNvPr>
        <xdr:cNvSpPr txBox="1"/>
      </xdr:nvSpPr>
      <xdr:spPr>
        <a:xfrm>
          <a:off x="9467850" y="0"/>
          <a:ext cx="2247900" cy="257175"/>
        </a:xfrm>
        <a:prstGeom prst="rect">
          <a:avLst/>
        </a:prstGeom>
        <a:solidFill>
          <a:srgbClr val="FF0000"/>
        </a:solidFill>
        <a:ln/>
        <a:scene3d>
          <a:camera prst="orthographicFront"/>
          <a:lightRig rig="threePt" dir="t"/>
        </a:scene3d>
        <a:sp3d>
          <a:bevelT/>
        </a:sp3d>
      </xdr:spPr>
      <xdr:style>
        <a:lnRef idx="0">
          <a:schemeClr val="accent1"/>
        </a:lnRef>
        <a:fillRef idx="3">
          <a:schemeClr val="accent1"/>
        </a:fillRef>
        <a:effectRef idx="3">
          <a:schemeClr val="accent1"/>
        </a:effectRef>
        <a:fontRef idx="minor">
          <a:schemeClr val="lt1"/>
        </a:fontRef>
      </xdr:style>
      <xdr:txBody>
        <a:bodyPr vertOverflow="clip" horzOverflow="clip" wrap="square" rtlCol="0" anchor="ctr"/>
        <a:lstStyle/>
        <a:p>
          <a:pPr algn="ctr"/>
          <a:r>
            <a:rPr lang="en-US" sz="1200" b="1"/>
            <a:t>Return to Summary Worksheet</a:t>
          </a:r>
        </a:p>
      </xdr:txBody>
    </xdr:sp>
    <xdr:clientData/>
  </xdr:twoCellAnchor>
</xdr:wsDr>
</file>

<file path=xl/drawings/drawing43.xml><?xml version="1.0" encoding="utf-8"?>
<xdr:wsDr xmlns:xdr="http://schemas.openxmlformats.org/drawingml/2006/spreadsheetDrawing" xmlns:a="http://schemas.openxmlformats.org/drawingml/2006/main">
  <xdr:twoCellAnchor>
    <xdr:from>
      <xdr:col>10</xdr:col>
      <xdr:colOff>276226</xdr:colOff>
      <xdr:row>17</xdr:row>
      <xdr:rowOff>161925</xdr:rowOff>
    </xdr:from>
    <xdr:to>
      <xdr:col>30</xdr:col>
      <xdr:colOff>257177</xdr:colOff>
      <xdr:row>25</xdr:row>
      <xdr:rowOff>133350</xdr:rowOff>
    </xdr:to>
    <xdr:sp macro="" textlink="">
      <xdr:nvSpPr>
        <xdr:cNvPr id="2" name="TextBox 1"/>
        <xdr:cNvSpPr txBox="1"/>
      </xdr:nvSpPr>
      <xdr:spPr>
        <a:xfrm>
          <a:off x="8077201" y="3581400"/>
          <a:ext cx="6353176" cy="1571625"/>
        </a:xfrm>
        <a:prstGeom prst="rect">
          <a:avLst/>
        </a:prstGeom>
        <a:ln>
          <a:solidFill>
            <a:sysClr val="windowText" lastClr="000000"/>
          </a:solidFill>
        </a:ln>
      </xdr:spPr>
      <xdr:style>
        <a:lnRef idx="0">
          <a:schemeClr val="accent1"/>
        </a:lnRef>
        <a:fillRef idx="3">
          <a:schemeClr val="accent1"/>
        </a:fillRef>
        <a:effectRef idx="3">
          <a:schemeClr val="accent1"/>
        </a:effectRef>
        <a:fontRef idx="minor">
          <a:schemeClr val="lt1"/>
        </a:fontRef>
      </xdr:style>
      <xdr:txBody>
        <a:bodyPr vertOverflow="clip" horzOverflow="clip" wrap="square" rtlCol="0" anchor="ctr"/>
        <a:lstStyle/>
        <a:p>
          <a:pPr algn="ctr"/>
          <a:r>
            <a:rPr lang="en-US" sz="2400" b="1">
              <a:solidFill>
                <a:schemeClr val="tx1"/>
              </a:solidFill>
            </a:rPr>
            <a:t>Instructions</a:t>
          </a:r>
        </a:p>
        <a:p>
          <a:pPr algn="ctr"/>
          <a:r>
            <a:rPr lang="en-US" sz="1200" b="1">
              <a:solidFill>
                <a:schemeClr val="tx1"/>
              </a:solidFill>
            </a:rPr>
            <a:t>Solve the following problem: As new data are entered and the list in columns B through J grows longer, how do you get the pension report (specifically, the cells beginning in columns P and Y containing the Last Name, First Name, Address, Phone, City, State, Zip, Plan and Balance data) to automatically display the last row of data as the data continues to grow? Send your solution</a:t>
          </a:r>
          <a:r>
            <a:rPr lang="en-US" sz="1200" b="1" baseline="0">
              <a:solidFill>
                <a:schemeClr val="tx1"/>
              </a:solidFill>
            </a:rPr>
            <a:t> to me at  </a:t>
          </a:r>
          <a:r>
            <a:rPr lang="en-US" sz="1200" b="1">
              <a:solidFill>
                <a:schemeClr val="tx1"/>
              </a:solidFill>
            </a:rPr>
            <a:t>J. Carlton Collins (carlton@asaresearch.com)  </a:t>
          </a:r>
          <a:endParaRPr lang="en-US" sz="1000"/>
        </a:p>
      </xdr:txBody>
    </xdr:sp>
    <xdr:clientData/>
  </xdr:twoCellAnchor>
  <xdr:twoCellAnchor>
    <xdr:from>
      <xdr:col>16</xdr:col>
      <xdr:colOff>0</xdr:colOff>
      <xdr:row>0</xdr:row>
      <xdr:rowOff>0</xdr:rowOff>
    </xdr:from>
    <xdr:to>
      <xdr:col>24</xdr:col>
      <xdr:colOff>38100</xdr:colOff>
      <xdr:row>1</xdr:row>
      <xdr:rowOff>57150</xdr:rowOff>
    </xdr:to>
    <xdr:sp macro="" textlink="">
      <xdr:nvSpPr>
        <xdr:cNvPr id="3" name="TextBox 2">
          <a:hlinkClick xmlns:r="http://schemas.openxmlformats.org/officeDocument/2006/relationships" r:id="rId1"/>
        </xdr:cNvPr>
        <xdr:cNvSpPr txBox="1"/>
      </xdr:nvSpPr>
      <xdr:spPr>
        <a:xfrm>
          <a:off x="9467850" y="0"/>
          <a:ext cx="2247900" cy="257175"/>
        </a:xfrm>
        <a:prstGeom prst="rect">
          <a:avLst/>
        </a:prstGeom>
        <a:solidFill>
          <a:srgbClr val="FF0000"/>
        </a:solidFill>
        <a:ln/>
        <a:scene3d>
          <a:camera prst="orthographicFront"/>
          <a:lightRig rig="threePt" dir="t"/>
        </a:scene3d>
        <a:sp3d>
          <a:bevelT/>
        </a:sp3d>
      </xdr:spPr>
      <xdr:style>
        <a:lnRef idx="0">
          <a:schemeClr val="accent1"/>
        </a:lnRef>
        <a:fillRef idx="3">
          <a:schemeClr val="accent1"/>
        </a:fillRef>
        <a:effectRef idx="3">
          <a:schemeClr val="accent1"/>
        </a:effectRef>
        <a:fontRef idx="minor">
          <a:schemeClr val="lt1"/>
        </a:fontRef>
      </xdr:style>
      <xdr:txBody>
        <a:bodyPr vertOverflow="clip" horzOverflow="clip" wrap="square" rtlCol="0" anchor="ctr"/>
        <a:lstStyle/>
        <a:p>
          <a:pPr algn="ctr"/>
          <a:r>
            <a:rPr lang="en-US" sz="1200" b="1"/>
            <a:t>Return to Summary Worksheet</a:t>
          </a:r>
        </a:p>
      </xdr:txBody>
    </xdr:sp>
    <xdr:clientData/>
  </xdr:twoCellAnchor>
</xdr:wsDr>
</file>

<file path=xl/drawings/drawing44.xml><?xml version="1.0" encoding="utf-8"?>
<xdr:wsDr xmlns:xdr="http://schemas.openxmlformats.org/drawingml/2006/spreadsheetDrawing" xmlns:a="http://schemas.openxmlformats.org/drawingml/2006/main">
  <xdr:twoCellAnchor>
    <xdr:from>
      <xdr:col>10</xdr:col>
      <xdr:colOff>276226</xdr:colOff>
      <xdr:row>17</xdr:row>
      <xdr:rowOff>161925</xdr:rowOff>
    </xdr:from>
    <xdr:to>
      <xdr:col>30</xdr:col>
      <xdr:colOff>257177</xdr:colOff>
      <xdr:row>25</xdr:row>
      <xdr:rowOff>133350</xdr:rowOff>
    </xdr:to>
    <xdr:sp macro="" textlink="">
      <xdr:nvSpPr>
        <xdr:cNvPr id="2" name="TextBox 1"/>
        <xdr:cNvSpPr txBox="1"/>
      </xdr:nvSpPr>
      <xdr:spPr>
        <a:xfrm>
          <a:off x="8077201" y="3581400"/>
          <a:ext cx="5514976" cy="1571625"/>
        </a:xfrm>
        <a:prstGeom prst="rect">
          <a:avLst/>
        </a:prstGeom>
        <a:ln>
          <a:solidFill>
            <a:sysClr val="windowText" lastClr="000000"/>
          </a:solidFill>
        </a:ln>
      </xdr:spPr>
      <xdr:style>
        <a:lnRef idx="0">
          <a:schemeClr val="accent1"/>
        </a:lnRef>
        <a:fillRef idx="3">
          <a:schemeClr val="accent1"/>
        </a:fillRef>
        <a:effectRef idx="3">
          <a:schemeClr val="accent1"/>
        </a:effectRef>
        <a:fontRef idx="minor">
          <a:schemeClr val="lt1"/>
        </a:fontRef>
      </xdr:style>
      <xdr:txBody>
        <a:bodyPr vertOverflow="clip" horzOverflow="clip" wrap="square" rtlCol="0" anchor="ctr"/>
        <a:lstStyle/>
        <a:p>
          <a:pPr algn="ctr"/>
          <a:r>
            <a:rPr lang="en-US" sz="2400" b="1">
              <a:solidFill>
                <a:schemeClr val="tx1"/>
              </a:solidFill>
            </a:rPr>
            <a:t>Instructions</a:t>
          </a:r>
        </a:p>
        <a:p>
          <a:pPr algn="ctr"/>
          <a:r>
            <a:rPr lang="en-US" sz="1200" b="1">
              <a:solidFill>
                <a:schemeClr val="tx1"/>
              </a:solidFill>
            </a:rPr>
            <a:t>Solve the following problem: As new data are entered and the list in columns B through J grows longer, how do you get the pension report (specifically, the cells beginning in columns P and Y containing the Last Name, First Name, Address, Phone, City, State, Zip, Plan and Balance data) to automatically display the last row of data as the data continues to grow? Send your solution</a:t>
          </a:r>
          <a:r>
            <a:rPr lang="en-US" sz="1200" b="1" baseline="0">
              <a:solidFill>
                <a:schemeClr val="tx1"/>
              </a:solidFill>
            </a:rPr>
            <a:t> to me at  </a:t>
          </a:r>
          <a:r>
            <a:rPr lang="en-US" sz="1200" b="1">
              <a:solidFill>
                <a:schemeClr val="tx1"/>
              </a:solidFill>
            </a:rPr>
            <a:t>J. Carlton Collins (carlton@asaresearch.com)  </a:t>
          </a:r>
          <a:endParaRPr lang="en-US" sz="1000"/>
        </a:p>
      </xdr:txBody>
    </xdr:sp>
    <xdr:clientData/>
  </xdr:twoCellAnchor>
  <xdr:twoCellAnchor>
    <xdr:from>
      <xdr:col>16</xdr:col>
      <xdr:colOff>0</xdr:colOff>
      <xdr:row>0</xdr:row>
      <xdr:rowOff>0</xdr:rowOff>
    </xdr:from>
    <xdr:to>
      <xdr:col>24</xdr:col>
      <xdr:colOff>38100</xdr:colOff>
      <xdr:row>1</xdr:row>
      <xdr:rowOff>57150</xdr:rowOff>
    </xdr:to>
    <xdr:sp macro="" textlink="">
      <xdr:nvSpPr>
        <xdr:cNvPr id="3" name="TextBox 2">
          <a:hlinkClick xmlns:r="http://schemas.openxmlformats.org/officeDocument/2006/relationships" r:id="rId1"/>
        </xdr:cNvPr>
        <xdr:cNvSpPr txBox="1"/>
      </xdr:nvSpPr>
      <xdr:spPr>
        <a:xfrm>
          <a:off x="9467850" y="0"/>
          <a:ext cx="2247900" cy="257175"/>
        </a:xfrm>
        <a:prstGeom prst="rect">
          <a:avLst/>
        </a:prstGeom>
        <a:solidFill>
          <a:srgbClr val="FF0000"/>
        </a:solidFill>
        <a:ln/>
        <a:scene3d>
          <a:camera prst="orthographicFront"/>
          <a:lightRig rig="threePt" dir="t"/>
        </a:scene3d>
        <a:sp3d>
          <a:bevelT/>
        </a:sp3d>
      </xdr:spPr>
      <xdr:style>
        <a:lnRef idx="0">
          <a:schemeClr val="accent1"/>
        </a:lnRef>
        <a:fillRef idx="3">
          <a:schemeClr val="accent1"/>
        </a:fillRef>
        <a:effectRef idx="3">
          <a:schemeClr val="accent1"/>
        </a:effectRef>
        <a:fontRef idx="minor">
          <a:schemeClr val="lt1"/>
        </a:fontRef>
      </xdr:style>
      <xdr:txBody>
        <a:bodyPr vertOverflow="clip" horzOverflow="clip" wrap="square" rtlCol="0" anchor="ctr"/>
        <a:lstStyle/>
        <a:p>
          <a:pPr algn="ctr"/>
          <a:r>
            <a:rPr lang="en-US" sz="1200" b="1"/>
            <a:t>Return to Summary Worksheet</a:t>
          </a:r>
        </a:p>
      </xdr:txBody>
    </xdr:sp>
    <xdr:clientData/>
  </xdr:twoCellAnchor>
</xdr:wsDr>
</file>

<file path=xl/drawings/drawing45.xml><?xml version="1.0" encoding="utf-8"?>
<xdr:wsDr xmlns:xdr="http://schemas.openxmlformats.org/drawingml/2006/spreadsheetDrawing" xmlns:a="http://schemas.openxmlformats.org/drawingml/2006/main">
  <xdr:twoCellAnchor>
    <xdr:from>
      <xdr:col>10</xdr:col>
      <xdr:colOff>276226</xdr:colOff>
      <xdr:row>17</xdr:row>
      <xdr:rowOff>161925</xdr:rowOff>
    </xdr:from>
    <xdr:to>
      <xdr:col>30</xdr:col>
      <xdr:colOff>257177</xdr:colOff>
      <xdr:row>25</xdr:row>
      <xdr:rowOff>133350</xdr:rowOff>
    </xdr:to>
    <xdr:sp macro="" textlink="">
      <xdr:nvSpPr>
        <xdr:cNvPr id="2" name="TextBox 1"/>
        <xdr:cNvSpPr txBox="1"/>
      </xdr:nvSpPr>
      <xdr:spPr>
        <a:xfrm>
          <a:off x="8077201" y="3581400"/>
          <a:ext cx="5514976" cy="1571625"/>
        </a:xfrm>
        <a:prstGeom prst="rect">
          <a:avLst/>
        </a:prstGeom>
        <a:ln>
          <a:solidFill>
            <a:sysClr val="windowText" lastClr="000000"/>
          </a:solidFill>
        </a:ln>
      </xdr:spPr>
      <xdr:style>
        <a:lnRef idx="0">
          <a:schemeClr val="accent1"/>
        </a:lnRef>
        <a:fillRef idx="3">
          <a:schemeClr val="accent1"/>
        </a:fillRef>
        <a:effectRef idx="3">
          <a:schemeClr val="accent1"/>
        </a:effectRef>
        <a:fontRef idx="minor">
          <a:schemeClr val="lt1"/>
        </a:fontRef>
      </xdr:style>
      <xdr:txBody>
        <a:bodyPr vertOverflow="clip" horzOverflow="clip" wrap="square" rtlCol="0" anchor="ctr"/>
        <a:lstStyle/>
        <a:p>
          <a:pPr algn="ctr"/>
          <a:r>
            <a:rPr lang="en-US" sz="2400" b="1">
              <a:solidFill>
                <a:schemeClr val="tx1"/>
              </a:solidFill>
            </a:rPr>
            <a:t>Instructions</a:t>
          </a:r>
        </a:p>
        <a:p>
          <a:pPr algn="ctr"/>
          <a:r>
            <a:rPr lang="en-US" sz="1200" b="1">
              <a:solidFill>
                <a:schemeClr val="tx1"/>
              </a:solidFill>
            </a:rPr>
            <a:t>Solve the following problem: As new data are entered and the list in columns B through J grows longer, how do you get the pension report (specifically, the cells beginning in columns P and Y containing the Last Name, First Name, Address, Phone, City, State, Zip, Plan and Balance data) to automatically display the last row of data as the data continues to grow? Send your solution</a:t>
          </a:r>
          <a:r>
            <a:rPr lang="en-US" sz="1200" b="1" baseline="0">
              <a:solidFill>
                <a:schemeClr val="tx1"/>
              </a:solidFill>
            </a:rPr>
            <a:t> to me at  </a:t>
          </a:r>
          <a:r>
            <a:rPr lang="en-US" sz="1200" b="1">
              <a:solidFill>
                <a:schemeClr val="tx1"/>
              </a:solidFill>
            </a:rPr>
            <a:t>J. Carlton Collins (carlton@asaresearch.com)  </a:t>
          </a:r>
          <a:endParaRPr lang="en-US" sz="1000"/>
        </a:p>
      </xdr:txBody>
    </xdr:sp>
    <xdr:clientData/>
  </xdr:twoCellAnchor>
  <xdr:twoCellAnchor>
    <xdr:from>
      <xdr:col>16</xdr:col>
      <xdr:colOff>0</xdr:colOff>
      <xdr:row>0</xdr:row>
      <xdr:rowOff>0</xdr:rowOff>
    </xdr:from>
    <xdr:to>
      <xdr:col>24</xdr:col>
      <xdr:colOff>38100</xdr:colOff>
      <xdr:row>1</xdr:row>
      <xdr:rowOff>57150</xdr:rowOff>
    </xdr:to>
    <xdr:sp macro="" textlink="">
      <xdr:nvSpPr>
        <xdr:cNvPr id="3" name="TextBox 2">
          <a:hlinkClick xmlns:r="http://schemas.openxmlformats.org/officeDocument/2006/relationships" r:id="rId1"/>
        </xdr:cNvPr>
        <xdr:cNvSpPr txBox="1"/>
      </xdr:nvSpPr>
      <xdr:spPr>
        <a:xfrm>
          <a:off x="9467850" y="0"/>
          <a:ext cx="2247900" cy="257175"/>
        </a:xfrm>
        <a:prstGeom prst="rect">
          <a:avLst/>
        </a:prstGeom>
        <a:solidFill>
          <a:srgbClr val="FF0000"/>
        </a:solidFill>
        <a:ln/>
        <a:scene3d>
          <a:camera prst="orthographicFront"/>
          <a:lightRig rig="threePt" dir="t"/>
        </a:scene3d>
        <a:sp3d>
          <a:bevelT/>
        </a:sp3d>
      </xdr:spPr>
      <xdr:style>
        <a:lnRef idx="0">
          <a:schemeClr val="accent1"/>
        </a:lnRef>
        <a:fillRef idx="3">
          <a:schemeClr val="accent1"/>
        </a:fillRef>
        <a:effectRef idx="3">
          <a:schemeClr val="accent1"/>
        </a:effectRef>
        <a:fontRef idx="minor">
          <a:schemeClr val="lt1"/>
        </a:fontRef>
      </xdr:style>
      <xdr:txBody>
        <a:bodyPr vertOverflow="clip" horzOverflow="clip" wrap="square" rtlCol="0" anchor="ctr"/>
        <a:lstStyle/>
        <a:p>
          <a:pPr algn="ctr"/>
          <a:r>
            <a:rPr lang="en-US" sz="1200" b="1"/>
            <a:t>Return to Summary Worksheet</a:t>
          </a:r>
        </a:p>
      </xdr:txBody>
    </xdr:sp>
    <xdr:clientData/>
  </xdr:twoCellAnchor>
</xdr:wsDr>
</file>

<file path=xl/drawings/drawing46.xml><?xml version="1.0" encoding="utf-8"?>
<xdr:wsDr xmlns:xdr="http://schemas.openxmlformats.org/drawingml/2006/spreadsheetDrawing" xmlns:a="http://schemas.openxmlformats.org/drawingml/2006/main">
  <xdr:twoCellAnchor>
    <xdr:from>
      <xdr:col>10</xdr:col>
      <xdr:colOff>276226</xdr:colOff>
      <xdr:row>17</xdr:row>
      <xdr:rowOff>161925</xdr:rowOff>
    </xdr:from>
    <xdr:to>
      <xdr:col>30</xdr:col>
      <xdr:colOff>257177</xdr:colOff>
      <xdr:row>25</xdr:row>
      <xdr:rowOff>133350</xdr:rowOff>
    </xdr:to>
    <xdr:sp macro="" textlink="">
      <xdr:nvSpPr>
        <xdr:cNvPr id="2" name="TextBox 1"/>
        <xdr:cNvSpPr txBox="1"/>
      </xdr:nvSpPr>
      <xdr:spPr>
        <a:xfrm>
          <a:off x="8077201" y="3581400"/>
          <a:ext cx="5514976" cy="1571625"/>
        </a:xfrm>
        <a:prstGeom prst="rect">
          <a:avLst/>
        </a:prstGeom>
        <a:ln>
          <a:solidFill>
            <a:sysClr val="windowText" lastClr="000000"/>
          </a:solidFill>
        </a:ln>
      </xdr:spPr>
      <xdr:style>
        <a:lnRef idx="0">
          <a:schemeClr val="accent1"/>
        </a:lnRef>
        <a:fillRef idx="3">
          <a:schemeClr val="accent1"/>
        </a:fillRef>
        <a:effectRef idx="3">
          <a:schemeClr val="accent1"/>
        </a:effectRef>
        <a:fontRef idx="minor">
          <a:schemeClr val="lt1"/>
        </a:fontRef>
      </xdr:style>
      <xdr:txBody>
        <a:bodyPr vertOverflow="clip" horzOverflow="clip" wrap="square" rtlCol="0" anchor="ctr"/>
        <a:lstStyle/>
        <a:p>
          <a:pPr algn="ctr"/>
          <a:r>
            <a:rPr lang="en-US" sz="2400" b="1">
              <a:solidFill>
                <a:schemeClr val="tx1"/>
              </a:solidFill>
            </a:rPr>
            <a:t>Instructions</a:t>
          </a:r>
        </a:p>
        <a:p>
          <a:pPr algn="ctr"/>
          <a:r>
            <a:rPr lang="en-US" sz="1200" b="1">
              <a:solidFill>
                <a:schemeClr val="tx1"/>
              </a:solidFill>
            </a:rPr>
            <a:t>Solve the following problem: As new data are entered and the list in columns B through J grows longer, how do you get the pension report (specifically, the cells beginning in columns P and Y containing the Last Name, First Name, Address, Phone, City, State, Zip, Plan and Balance data) to automatically display the last row of data as the data continues to grow? Send your solution</a:t>
          </a:r>
          <a:r>
            <a:rPr lang="en-US" sz="1200" b="1" baseline="0">
              <a:solidFill>
                <a:schemeClr val="tx1"/>
              </a:solidFill>
            </a:rPr>
            <a:t> to me at  </a:t>
          </a:r>
          <a:r>
            <a:rPr lang="en-US" sz="1200" b="1">
              <a:solidFill>
                <a:schemeClr val="tx1"/>
              </a:solidFill>
            </a:rPr>
            <a:t>J. Carlton Collins (carlton@asaresearch.com)  </a:t>
          </a:r>
          <a:endParaRPr lang="en-US" sz="1000"/>
        </a:p>
      </xdr:txBody>
    </xdr:sp>
    <xdr:clientData/>
  </xdr:twoCellAnchor>
  <xdr:twoCellAnchor>
    <xdr:from>
      <xdr:col>16</xdr:col>
      <xdr:colOff>0</xdr:colOff>
      <xdr:row>0</xdr:row>
      <xdr:rowOff>0</xdr:rowOff>
    </xdr:from>
    <xdr:to>
      <xdr:col>24</xdr:col>
      <xdr:colOff>38100</xdr:colOff>
      <xdr:row>1</xdr:row>
      <xdr:rowOff>57150</xdr:rowOff>
    </xdr:to>
    <xdr:sp macro="" textlink="">
      <xdr:nvSpPr>
        <xdr:cNvPr id="3" name="TextBox 2">
          <a:hlinkClick xmlns:r="http://schemas.openxmlformats.org/officeDocument/2006/relationships" r:id="rId1"/>
        </xdr:cNvPr>
        <xdr:cNvSpPr txBox="1"/>
      </xdr:nvSpPr>
      <xdr:spPr>
        <a:xfrm>
          <a:off x="9467850" y="0"/>
          <a:ext cx="2247900" cy="257175"/>
        </a:xfrm>
        <a:prstGeom prst="rect">
          <a:avLst/>
        </a:prstGeom>
        <a:solidFill>
          <a:srgbClr val="FF0000"/>
        </a:solidFill>
        <a:ln/>
        <a:scene3d>
          <a:camera prst="orthographicFront"/>
          <a:lightRig rig="threePt" dir="t"/>
        </a:scene3d>
        <a:sp3d>
          <a:bevelT/>
        </a:sp3d>
      </xdr:spPr>
      <xdr:style>
        <a:lnRef idx="0">
          <a:schemeClr val="accent1"/>
        </a:lnRef>
        <a:fillRef idx="3">
          <a:schemeClr val="accent1"/>
        </a:fillRef>
        <a:effectRef idx="3">
          <a:schemeClr val="accent1"/>
        </a:effectRef>
        <a:fontRef idx="minor">
          <a:schemeClr val="lt1"/>
        </a:fontRef>
      </xdr:style>
      <xdr:txBody>
        <a:bodyPr vertOverflow="clip" horzOverflow="clip" wrap="square" rtlCol="0" anchor="ctr"/>
        <a:lstStyle/>
        <a:p>
          <a:pPr algn="ctr"/>
          <a:r>
            <a:rPr lang="en-US" sz="1200" b="1"/>
            <a:t>Return to Summary Worksheet</a:t>
          </a:r>
        </a:p>
      </xdr:txBody>
    </xdr:sp>
    <xdr:clientData/>
  </xdr:twoCellAnchor>
</xdr:wsDr>
</file>

<file path=xl/drawings/drawing47.xml><?xml version="1.0" encoding="utf-8"?>
<xdr:wsDr xmlns:xdr="http://schemas.openxmlformats.org/drawingml/2006/spreadsheetDrawing" xmlns:a="http://schemas.openxmlformats.org/drawingml/2006/main">
  <xdr:twoCellAnchor>
    <xdr:from>
      <xdr:col>10</xdr:col>
      <xdr:colOff>276226</xdr:colOff>
      <xdr:row>17</xdr:row>
      <xdr:rowOff>161925</xdr:rowOff>
    </xdr:from>
    <xdr:to>
      <xdr:col>30</xdr:col>
      <xdr:colOff>257177</xdr:colOff>
      <xdr:row>25</xdr:row>
      <xdr:rowOff>133350</xdr:rowOff>
    </xdr:to>
    <xdr:sp macro="" textlink="">
      <xdr:nvSpPr>
        <xdr:cNvPr id="2" name="TextBox 1"/>
        <xdr:cNvSpPr txBox="1"/>
      </xdr:nvSpPr>
      <xdr:spPr>
        <a:xfrm>
          <a:off x="8077201" y="3581400"/>
          <a:ext cx="5514976" cy="1571625"/>
        </a:xfrm>
        <a:prstGeom prst="rect">
          <a:avLst/>
        </a:prstGeom>
        <a:ln>
          <a:solidFill>
            <a:sysClr val="windowText" lastClr="000000"/>
          </a:solidFill>
        </a:ln>
      </xdr:spPr>
      <xdr:style>
        <a:lnRef idx="0">
          <a:schemeClr val="accent1"/>
        </a:lnRef>
        <a:fillRef idx="3">
          <a:schemeClr val="accent1"/>
        </a:fillRef>
        <a:effectRef idx="3">
          <a:schemeClr val="accent1"/>
        </a:effectRef>
        <a:fontRef idx="minor">
          <a:schemeClr val="lt1"/>
        </a:fontRef>
      </xdr:style>
      <xdr:txBody>
        <a:bodyPr vertOverflow="clip" horzOverflow="clip" wrap="square" rtlCol="0" anchor="ctr"/>
        <a:lstStyle/>
        <a:p>
          <a:pPr algn="ctr"/>
          <a:r>
            <a:rPr lang="en-US" sz="2400" b="1">
              <a:solidFill>
                <a:schemeClr val="tx1"/>
              </a:solidFill>
            </a:rPr>
            <a:t>Instructions</a:t>
          </a:r>
        </a:p>
        <a:p>
          <a:pPr algn="ctr"/>
          <a:r>
            <a:rPr lang="en-US" sz="1200" b="1">
              <a:solidFill>
                <a:schemeClr val="tx1"/>
              </a:solidFill>
            </a:rPr>
            <a:t>Solve the following problem: As new data are entered and the list in columns B through J grows longer, how do you get the pension report (specifically, the cells beginning in columns P and Y containing the Last Name, First Name, Address, Phone, City, State, Zip, Plan and Balance data) to automatically display the last row of data as the data continues to grow? Send your solution</a:t>
          </a:r>
          <a:r>
            <a:rPr lang="en-US" sz="1200" b="1" baseline="0">
              <a:solidFill>
                <a:schemeClr val="tx1"/>
              </a:solidFill>
            </a:rPr>
            <a:t> to me at  </a:t>
          </a:r>
          <a:r>
            <a:rPr lang="en-US" sz="1200" b="1">
              <a:solidFill>
                <a:schemeClr val="tx1"/>
              </a:solidFill>
            </a:rPr>
            <a:t>J. Carlton Collins (carlton@asaresearch.com)  </a:t>
          </a:r>
          <a:endParaRPr lang="en-US" sz="1000"/>
        </a:p>
      </xdr:txBody>
    </xdr:sp>
    <xdr:clientData/>
  </xdr:twoCellAnchor>
  <xdr:twoCellAnchor>
    <xdr:from>
      <xdr:col>16</xdr:col>
      <xdr:colOff>0</xdr:colOff>
      <xdr:row>0</xdr:row>
      <xdr:rowOff>0</xdr:rowOff>
    </xdr:from>
    <xdr:to>
      <xdr:col>24</xdr:col>
      <xdr:colOff>38100</xdr:colOff>
      <xdr:row>1</xdr:row>
      <xdr:rowOff>57150</xdr:rowOff>
    </xdr:to>
    <xdr:sp macro="" textlink="">
      <xdr:nvSpPr>
        <xdr:cNvPr id="3" name="TextBox 2">
          <a:hlinkClick xmlns:r="http://schemas.openxmlformats.org/officeDocument/2006/relationships" r:id="rId1"/>
        </xdr:cNvPr>
        <xdr:cNvSpPr txBox="1"/>
      </xdr:nvSpPr>
      <xdr:spPr>
        <a:xfrm>
          <a:off x="9467850" y="0"/>
          <a:ext cx="2247900" cy="257175"/>
        </a:xfrm>
        <a:prstGeom prst="rect">
          <a:avLst/>
        </a:prstGeom>
        <a:solidFill>
          <a:srgbClr val="FF0000"/>
        </a:solidFill>
        <a:ln/>
        <a:scene3d>
          <a:camera prst="orthographicFront"/>
          <a:lightRig rig="threePt" dir="t"/>
        </a:scene3d>
        <a:sp3d>
          <a:bevelT/>
        </a:sp3d>
      </xdr:spPr>
      <xdr:style>
        <a:lnRef idx="0">
          <a:schemeClr val="accent1"/>
        </a:lnRef>
        <a:fillRef idx="3">
          <a:schemeClr val="accent1"/>
        </a:fillRef>
        <a:effectRef idx="3">
          <a:schemeClr val="accent1"/>
        </a:effectRef>
        <a:fontRef idx="minor">
          <a:schemeClr val="lt1"/>
        </a:fontRef>
      </xdr:style>
      <xdr:txBody>
        <a:bodyPr vertOverflow="clip" horzOverflow="clip" wrap="square" rtlCol="0" anchor="ctr"/>
        <a:lstStyle/>
        <a:p>
          <a:pPr algn="ctr"/>
          <a:r>
            <a:rPr lang="en-US" sz="1200" b="1"/>
            <a:t>Return to Summary Worksheet</a:t>
          </a:r>
        </a:p>
      </xdr:txBody>
    </xdr:sp>
    <xdr:clientData/>
  </xdr:twoCellAnchor>
</xdr:wsDr>
</file>

<file path=xl/drawings/drawing48.xml><?xml version="1.0" encoding="utf-8"?>
<xdr:wsDr xmlns:xdr="http://schemas.openxmlformats.org/drawingml/2006/spreadsheetDrawing" xmlns:a="http://schemas.openxmlformats.org/drawingml/2006/main">
  <xdr:twoCellAnchor>
    <xdr:from>
      <xdr:col>10</xdr:col>
      <xdr:colOff>276226</xdr:colOff>
      <xdr:row>17</xdr:row>
      <xdr:rowOff>161925</xdr:rowOff>
    </xdr:from>
    <xdr:to>
      <xdr:col>30</xdr:col>
      <xdr:colOff>257177</xdr:colOff>
      <xdr:row>25</xdr:row>
      <xdr:rowOff>133350</xdr:rowOff>
    </xdr:to>
    <xdr:sp macro="" textlink="">
      <xdr:nvSpPr>
        <xdr:cNvPr id="2" name="TextBox 1"/>
        <xdr:cNvSpPr txBox="1"/>
      </xdr:nvSpPr>
      <xdr:spPr>
        <a:xfrm>
          <a:off x="8077201" y="3581400"/>
          <a:ext cx="5514976" cy="1571625"/>
        </a:xfrm>
        <a:prstGeom prst="rect">
          <a:avLst/>
        </a:prstGeom>
        <a:ln>
          <a:solidFill>
            <a:sysClr val="windowText" lastClr="000000"/>
          </a:solidFill>
        </a:ln>
      </xdr:spPr>
      <xdr:style>
        <a:lnRef idx="0">
          <a:schemeClr val="accent1"/>
        </a:lnRef>
        <a:fillRef idx="3">
          <a:schemeClr val="accent1"/>
        </a:fillRef>
        <a:effectRef idx="3">
          <a:schemeClr val="accent1"/>
        </a:effectRef>
        <a:fontRef idx="minor">
          <a:schemeClr val="lt1"/>
        </a:fontRef>
      </xdr:style>
      <xdr:txBody>
        <a:bodyPr vertOverflow="clip" horzOverflow="clip" wrap="square" rtlCol="0" anchor="ctr"/>
        <a:lstStyle/>
        <a:p>
          <a:pPr algn="ctr"/>
          <a:r>
            <a:rPr lang="en-US" sz="2400" b="1">
              <a:solidFill>
                <a:schemeClr val="tx1"/>
              </a:solidFill>
            </a:rPr>
            <a:t>Instructions</a:t>
          </a:r>
        </a:p>
        <a:p>
          <a:pPr algn="ctr"/>
          <a:r>
            <a:rPr lang="en-US" sz="1200" b="1">
              <a:solidFill>
                <a:schemeClr val="tx1"/>
              </a:solidFill>
            </a:rPr>
            <a:t>Solve the following problem: As new data are entered and the list in columns B through J grows longer, how do you get the pension report (specifically, the cells beginning in columns P and Y containing the Last Name, First Name, Address, Phone, City, State, Zip, Plan and Balance data) to automatically display the last row of data as the data continues to grow? Send your solution</a:t>
          </a:r>
          <a:r>
            <a:rPr lang="en-US" sz="1200" b="1" baseline="0">
              <a:solidFill>
                <a:schemeClr val="tx1"/>
              </a:solidFill>
            </a:rPr>
            <a:t> to me at  </a:t>
          </a:r>
          <a:r>
            <a:rPr lang="en-US" sz="1200" b="1">
              <a:solidFill>
                <a:schemeClr val="tx1"/>
              </a:solidFill>
            </a:rPr>
            <a:t>J. Carlton Collins (carlton@asaresearch.com)  </a:t>
          </a:r>
          <a:endParaRPr lang="en-US" sz="1000"/>
        </a:p>
      </xdr:txBody>
    </xdr:sp>
    <xdr:clientData/>
  </xdr:twoCellAnchor>
  <xdr:twoCellAnchor>
    <xdr:from>
      <xdr:col>16</xdr:col>
      <xdr:colOff>0</xdr:colOff>
      <xdr:row>0</xdr:row>
      <xdr:rowOff>0</xdr:rowOff>
    </xdr:from>
    <xdr:to>
      <xdr:col>24</xdr:col>
      <xdr:colOff>38100</xdr:colOff>
      <xdr:row>1</xdr:row>
      <xdr:rowOff>57150</xdr:rowOff>
    </xdr:to>
    <xdr:sp macro="" textlink="">
      <xdr:nvSpPr>
        <xdr:cNvPr id="3" name="TextBox 2">
          <a:hlinkClick xmlns:r="http://schemas.openxmlformats.org/officeDocument/2006/relationships" r:id="rId1"/>
        </xdr:cNvPr>
        <xdr:cNvSpPr txBox="1"/>
      </xdr:nvSpPr>
      <xdr:spPr>
        <a:xfrm>
          <a:off x="9467850" y="0"/>
          <a:ext cx="2247900" cy="257175"/>
        </a:xfrm>
        <a:prstGeom prst="rect">
          <a:avLst/>
        </a:prstGeom>
        <a:solidFill>
          <a:srgbClr val="FF0000"/>
        </a:solidFill>
        <a:ln/>
        <a:scene3d>
          <a:camera prst="orthographicFront"/>
          <a:lightRig rig="threePt" dir="t"/>
        </a:scene3d>
        <a:sp3d>
          <a:bevelT/>
        </a:sp3d>
      </xdr:spPr>
      <xdr:style>
        <a:lnRef idx="0">
          <a:schemeClr val="accent1"/>
        </a:lnRef>
        <a:fillRef idx="3">
          <a:schemeClr val="accent1"/>
        </a:fillRef>
        <a:effectRef idx="3">
          <a:schemeClr val="accent1"/>
        </a:effectRef>
        <a:fontRef idx="minor">
          <a:schemeClr val="lt1"/>
        </a:fontRef>
      </xdr:style>
      <xdr:txBody>
        <a:bodyPr vertOverflow="clip" horzOverflow="clip" wrap="square" rtlCol="0" anchor="ctr"/>
        <a:lstStyle/>
        <a:p>
          <a:pPr algn="ctr"/>
          <a:r>
            <a:rPr lang="en-US" sz="1200" b="1"/>
            <a:t>Return to Summary Worksheet</a:t>
          </a:r>
        </a:p>
      </xdr:txBody>
    </xdr:sp>
    <xdr:clientData/>
  </xdr:twoCellAnchor>
</xdr:wsDr>
</file>

<file path=xl/drawings/drawing49.xml><?xml version="1.0" encoding="utf-8"?>
<xdr:wsDr xmlns:xdr="http://schemas.openxmlformats.org/drawingml/2006/spreadsheetDrawing" xmlns:a="http://schemas.openxmlformats.org/drawingml/2006/main">
  <xdr:twoCellAnchor>
    <xdr:from>
      <xdr:col>10</xdr:col>
      <xdr:colOff>276226</xdr:colOff>
      <xdr:row>17</xdr:row>
      <xdr:rowOff>161925</xdr:rowOff>
    </xdr:from>
    <xdr:to>
      <xdr:col>30</xdr:col>
      <xdr:colOff>257177</xdr:colOff>
      <xdr:row>25</xdr:row>
      <xdr:rowOff>133350</xdr:rowOff>
    </xdr:to>
    <xdr:sp macro="" textlink="">
      <xdr:nvSpPr>
        <xdr:cNvPr id="2" name="TextBox 1"/>
        <xdr:cNvSpPr txBox="1"/>
      </xdr:nvSpPr>
      <xdr:spPr>
        <a:xfrm>
          <a:off x="8077201" y="3581400"/>
          <a:ext cx="5514976" cy="1571625"/>
        </a:xfrm>
        <a:prstGeom prst="rect">
          <a:avLst/>
        </a:prstGeom>
        <a:ln>
          <a:solidFill>
            <a:sysClr val="windowText" lastClr="000000"/>
          </a:solidFill>
        </a:ln>
      </xdr:spPr>
      <xdr:style>
        <a:lnRef idx="0">
          <a:schemeClr val="accent1"/>
        </a:lnRef>
        <a:fillRef idx="3">
          <a:schemeClr val="accent1"/>
        </a:fillRef>
        <a:effectRef idx="3">
          <a:schemeClr val="accent1"/>
        </a:effectRef>
        <a:fontRef idx="minor">
          <a:schemeClr val="lt1"/>
        </a:fontRef>
      </xdr:style>
      <xdr:txBody>
        <a:bodyPr vertOverflow="clip" horzOverflow="clip" wrap="square" rtlCol="0" anchor="ctr"/>
        <a:lstStyle/>
        <a:p>
          <a:pPr algn="ctr"/>
          <a:r>
            <a:rPr lang="en-US" sz="2400" b="1">
              <a:solidFill>
                <a:schemeClr val="tx1"/>
              </a:solidFill>
            </a:rPr>
            <a:t>Instructions</a:t>
          </a:r>
        </a:p>
        <a:p>
          <a:pPr algn="ctr"/>
          <a:r>
            <a:rPr lang="en-US" sz="1200" b="1">
              <a:solidFill>
                <a:schemeClr val="tx1"/>
              </a:solidFill>
            </a:rPr>
            <a:t>Solve the following problem: As new data are entered and the list in columns B through J grows longer, how do you get the pension report (specifically, the cells beginning in columns P and Y containing the Last Name, First Name, Address, Phone, City, State, Zip, Plan and Balance data) to automatically display the last row of data as the data continues to grow? Send your solution</a:t>
          </a:r>
          <a:r>
            <a:rPr lang="en-US" sz="1200" b="1" baseline="0">
              <a:solidFill>
                <a:schemeClr val="tx1"/>
              </a:solidFill>
            </a:rPr>
            <a:t> to me at  </a:t>
          </a:r>
          <a:r>
            <a:rPr lang="en-US" sz="1200" b="1">
              <a:solidFill>
                <a:schemeClr val="tx1"/>
              </a:solidFill>
            </a:rPr>
            <a:t>J. Carlton Collins (carlton@asaresearch.com)  </a:t>
          </a:r>
          <a:endParaRPr lang="en-US" sz="1000"/>
        </a:p>
      </xdr:txBody>
    </xdr:sp>
    <xdr:clientData/>
  </xdr:twoCellAnchor>
  <xdr:twoCellAnchor>
    <xdr:from>
      <xdr:col>16</xdr:col>
      <xdr:colOff>0</xdr:colOff>
      <xdr:row>0</xdr:row>
      <xdr:rowOff>0</xdr:rowOff>
    </xdr:from>
    <xdr:to>
      <xdr:col>24</xdr:col>
      <xdr:colOff>38100</xdr:colOff>
      <xdr:row>1</xdr:row>
      <xdr:rowOff>57150</xdr:rowOff>
    </xdr:to>
    <xdr:sp macro="" textlink="">
      <xdr:nvSpPr>
        <xdr:cNvPr id="3" name="TextBox 2">
          <a:hlinkClick xmlns:r="http://schemas.openxmlformats.org/officeDocument/2006/relationships" r:id="rId1"/>
        </xdr:cNvPr>
        <xdr:cNvSpPr txBox="1"/>
      </xdr:nvSpPr>
      <xdr:spPr>
        <a:xfrm>
          <a:off x="9467850" y="0"/>
          <a:ext cx="2247900" cy="257175"/>
        </a:xfrm>
        <a:prstGeom prst="rect">
          <a:avLst/>
        </a:prstGeom>
        <a:solidFill>
          <a:srgbClr val="FF0000"/>
        </a:solidFill>
        <a:ln/>
        <a:scene3d>
          <a:camera prst="orthographicFront"/>
          <a:lightRig rig="threePt" dir="t"/>
        </a:scene3d>
        <a:sp3d>
          <a:bevelT/>
        </a:sp3d>
      </xdr:spPr>
      <xdr:style>
        <a:lnRef idx="0">
          <a:schemeClr val="accent1"/>
        </a:lnRef>
        <a:fillRef idx="3">
          <a:schemeClr val="accent1"/>
        </a:fillRef>
        <a:effectRef idx="3">
          <a:schemeClr val="accent1"/>
        </a:effectRef>
        <a:fontRef idx="minor">
          <a:schemeClr val="lt1"/>
        </a:fontRef>
      </xdr:style>
      <xdr:txBody>
        <a:bodyPr vertOverflow="clip" horzOverflow="clip" wrap="square" rtlCol="0" anchor="ctr"/>
        <a:lstStyle/>
        <a:p>
          <a:pPr algn="ctr"/>
          <a:r>
            <a:rPr lang="en-US" sz="1200" b="1"/>
            <a:t>Return to Summary Worksheet</a:t>
          </a:r>
        </a:p>
      </xdr:txBody>
    </xdr:sp>
    <xdr:clientData/>
  </xdr:twoCellAnchor>
</xdr:wsDr>
</file>

<file path=xl/drawings/drawing50.xml><?xml version="1.0" encoding="utf-8"?>
<xdr:wsDr xmlns:xdr="http://schemas.openxmlformats.org/drawingml/2006/spreadsheetDrawing" xmlns:a="http://schemas.openxmlformats.org/drawingml/2006/main">
  <xdr:twoCellAnchor>
    <xdr:from>
      <xdr:col>10</xdr:col>
      <xdr:colOff>276226</xdr:colOff>
      <xdr:row>17</xdr:row>
      <xdr:rowOff>161925</xdr:rowOff>
    </xdr:from>
    <xdr:to>
      <xdr:col>30</xdr:col>
      <xdr:colOff>257177</xdr:colOff>
      <xdr:row>25</xdr:row>
      <xdr:rowOff>133350</xdr:rowOff>
    </xdr:to>
    <xdr:sp macro="" textlink="">
      <xdr:nvSpPr>
        <xdr:cNvPr id="2" name="TextBox 1"/>
        <xdr:cNvSpPr txBox="1"/>
      </xdr:nvSpPr>
      <xdr:spPr>
        <a:xfrm>
          <a:off x="8201026" y="3581400"/>
          <a:ext cx="5514976" cy="1571625"/>
        </a:xfrm>
        <a:prstGeom prst="rect">
          <a:avLst/>
        </a:prstGeom>
        <a:ln>
          <a:solidFill>
            <a:sysClr val="windowText" lastClr="000000"/>
          </a:solidFill>
        </a:ln>
      </xdr:spPr>
      <xdr:style>
        <a:lnRef idx="0">
          <a:schemeClr val="accent1"/>
        </a:lnRef>
        <a:fillRef idx="3">
          <a:schemeClr val="accent1"/>
        </a:fillRef>
        <a:effectRef idx="3">
          <a:schemeClr val="accent1"/>
        </a:effectRef>
        <a:fontRef idx="minor">
          <a:schemeClr val="lt1"/>
        </a:fontRef>
      </xdr:style>
      <xdr:txBody>
        <a:bodyPr vertOverflow="clip" horzOverflow="clip" wrap="square" rtlCol="0" anchor="ctr"/>
        <a:lstStyle/>
        <a:p>
          <a:pPr algn="ctr"/>
          <a:r>
            <a:rPr lang="en-US" sz="2400" b="1">
              <a:solidFill>
                <a:schemeClr val="tx1"/>
              </a:solidFill>
            </a:rPr>
            <a:t>Instructions</a:t>
          </a:r>
        </a:p>
        <a:p>
          <a:pPr algn="ctr"/>
          <a:r>
            <a:rPr lang="en-US" sz="1200" b="1">
              <a:solidFill>
                <a:schemeClr val="tx1"/>
              </a:solidFill>
            </a:rPr>
            <a:t>Solve the following problem: As new data are entered and the list in columns B through J grows longer, how do you get the pension report (specifically, the cells beginning in columns P and Y containing the Last Name, First Name, Address, Phone, City, State, Zip, Plan and Balance data) to automatically display the last row of data as the data continues to grow? Send your solution</a:t>
          </a:r>
          <a:r>
            <a:rPr lang="en-US" sz="1200" b="1" baseline="0">
              <a:solidFill>
                <a:schemeClr val="tx1"/>
              </a:solidFill>
            </a:rPr>
            <a:t> to me at  </a:t>
          </a:r>
          <a:r>
            <a:rPr lang="en-US" sz="1200" b="1">
              <a:solidFill>
                <a:schemeClr val="tx1"/>
              </a:solidFill>
            </a:rPr>
            <a:t>J. Carlton Collins (carlton@asaresearch.com)  </a:t>
          </a:r>
          <a:endParaRPr lang="en-US" sz="1000"/>
        </a:p>
      </xdr:txBody>
    </xdr:sp>
    <xdr:clientData/>
  </xdr:twoCellAnchor>
  <xdr:twoCellAnchor>
    <xdr:from>
      <xdr:col>16</xdr:col>
      <xdr:colOff>0</xdr:colOff>
      <xdr:row>0</xdr:row>
      <xdr:rowOff>0</xdr:rowOff>
    </xdr:from>
    <xdr:to>
      <xdr:col>24</xdr:col>
      <xdr:colOff>38100</xdr:colOff>
      <xdr:row>1</xdr:row>
      <xdr:rowOff>57150</xdr:rowOff>
    </xdr:to>
    <xdr:sp macro="" textlink="">
      <xdr:nvSpPr>
        <xdr:cNvPr id="3" name="TextBox 2">
          <a:hlinkClick xmlns:r="http://schemas.openxmlformats.org/officeDocument/2006/relationships" r:id="rId1"/>
        </xdr:cNvPr>
        <xdr:cNvSpPr txBox="1"/>
      </xdr:nvSpPr>
      <xdr:spPr>
        <a:xfrm>
          <a:off x="9610725" y="0"/>
          <a:ext cx="2247900" cy="257175"/>
        </a:xfrm>
        <a:prstGeom prst="rect">
          <a:avLst/>
        </a:prstGeom>
        <a:solidFill>
          <a:srgbClr val="FF0000"/>
        </a:solidFill>
        <a:ln/>
        <a:scene3d>
          <a:camera prst="orthographicFront"/>
          <a:lightRig rig="threePt" dir="t"/>
        </a:scene3d>
        <a:sp3d>
          <a:bevelT/>
        </a:sp3d>
      </xdr:spPr>
      <xdr:style>
        <a:lnRef idx="0">
          <a:schemeClr val="accent1"/>
        </a:lnRef>
        <a:fillRef idx="3">
          <a:schemeClr val="accent1"/>
        </a:fillRef>
        <a:effectRef idx="3">
          <a:schemeClr val="accent1"/>
        </a:effectRef>
        <a:fontRef idx="minor">
          <a:schemeClr val="lt1"/>
        </a:fontRef>
      </xdr:style>
      <xdr:txBody>
        <a:bodyPr vertOverflow="clip" horzOverflow="clip" wrap="square" rtlCol="0" anchor="ctr"/>
        <a:lstStyle/>
        <a:p>
          <a:pPr algn="ctr"/>
          <a:r>
            <a:rPr lang="en-US" sz="1200" b="1"/>
            <a:t>Return to Summary Worksheet</a:t>
          </a:r>
        </a:p>
      </xdr:txBody>
    </xdr:sp>
    <xdr:clientData/>
  </xdr:twoCellAnchor>
</xdr:wsDr>
</file>

<file path=xl/drawings/drawing51.xml><?xml version="1.0" encoding="utf-8"?>
<xdr:wsDr xmlns:xdr="http://schemas.openxmlformats.org/drawingml/2006/spreadsheetDrawing" xmlns:a="http://schemas.openxmlformats.org/drawingml/2006/main">
  <xdr:twoCellAnchor>
    <xdr:from>
      <xdr:col>10</xdr:col>
      <xdr:colOff>276226</xdr:colOff>
      <xdr:row>17</xdr:row>
      <xdr:rowOff>161925</xdr:rowOff>
    </xdr:from>
    <xdr:to>
      <xdr:col>30</xdr:col>
      <xdr:colOff>257177</xdr:colOff>
      <xdr:row>25</xdr:row>
      <xdr:rowOff>133350</xdr:rowOff>
    </xdr:to>
    <xdr:sp macro="" textlink="">
      <xdr:nvSpPr>
        <xdr:cNvPr id="2" name="TextBox 1"/>
        <xdr:cNvSpPr txBox="1"/>
      </xdr:nvSpPr>
      <xdr:spPr>
        <a:xfrm>
          <a:off x="8077201" y="3581400"/>
          <a:ext cx="5514976" cy="1571625"/>
        </a:xfrm>
        <a:prstGeom prst="rect">
          <a:avLst/>
        </a:prstGeom>
        <a:ln>
          <a:solidFill>
            <a:sysClr val="windowText" lastClr="000000"/>
          </a:solidFill>
        </a:ln>
      </xdr:spPr>
      <xdr:style>
        <a:lnRef idx="0">
          <a:schemeClr val="accent1"/>
        </a:lnRef>
        <a:fillRef idx="3">
          <a:schemeClr val="accent1"/>
        </a:fillRef>
        <a:effectRef idx="3">
          <a:schemeClr val="accent1"/>
        </a:effectRef>
        <a:fontRef idx="minor">
          <a:schemeClr val="lt1"/>
        </a:fontRef>
      </xdr:style>
      <xdr:txBody>
        <a:bodyPr vertOverflow="clip" horzOverflow="clip" wrap="square" rtlCol="0" anchor="ctr"/>
        <a:lstStyle/>
        <a:p>
          <a:pPr algn="ctr"/>
          <a:r>
            <a:rPr lang="en-US" sz="2400" b="1">
              <a:solidFill>
                <a:schemeClr val="tx1"/>
              </a:solidFill>
            </a:rPr>
            <a:t>Instructions</a:t>
          </a:r>
        </a:p>
        <a:p>
          <a:pPr algn="ctr"/>
          <a:r>
            <a:rPr lang="en-US" sz="1200" b="1">
              <a:solidFill>
                <a:schemeClr val="tx1"/>
              </a:solidFill>
            </a:rPr>
            <a:t>Solve the following problem: As new data are entered and the list in columns B through J grows longer, how do you get the pension report (specifically, the cells beginning in columns P and Y containing the Last Name, First Name, Address, Phone, City, State, Zip, Plan and Balance data) to automatically display the last row of data as the data continues to grow? Send your solution</a:t>
          </a:r>
          <a:r>
            <a:rPr lang="en-US" sz="1200" b="1" baseline="0">
              <a:solidFill>
                <a:schemeClr val="tx1"/>
              </a:solidFill>
            </a:rPr>
            <a:t> to me at  </a:t>
          </a:r>
          <a:r>
            <a:rPr lang="en-US" sz="1200" b="1">
              <a:solidFill>
                <a:schemeClr val="tx1"/>
              </a:solidFill>
            </a:rPr>
            <a:t>J. Carlton Collins (carlton@asaresearch.com)  </a:t>
          </a:r>
          <a:endParaRPr lang="en-US" sz="1000"/>
        </a:p>
      </xdr:txBody>
    </xdr:sp>
    <xdr:clientData/>
  </xdr:twoCellAnchor>
</xdr:wsDr>
</file>

<file path=xl/drawings/drawing52.xml><?xml version="1.0" encoding="utf-8"?>
<xdr:wsDr xmlns:xdr="http://schemas.openxmlformats.org/drawingml/2006/spreadsheetDrawing" xmlns:a="http://schemas.openxmlformats.org/drawingml/2006/main">
  <xdr:twoCellAnchor>
    <xdr:from>
      <xdr:col>10</xdr:col>
      <xdr:colOff>276226</xdr:colOff>
      <xdr:row>17</xdr:row>
      <xdr:rowOff>161925</xdr:rowOff>
    </xdr:from>
    <xdr:to>
      <xdr:col>30</xdr:col>
      <xdr:colOff>257177</xdr:colOff>
      <xdr:row>27</xdr:row>
      <xdr:rowOff>9525</xdr:rowOff>
    </xdr:to>
    <xdr:sp macro="" textlink="">
      <xdr:nvSpPr>
        <xdr:cNvPr id="2" name="TextBox 1"/>
        <xdr:cNvSpPr txBox="1"/>
      </xdr:nvSpPr>
      <xdr:spPr>
        <a:xfrm>
          <a:off x="8591551" y="3581400"/>
          <a:ext cx="6162676" cy="1847850"/>
        </a:xfrm>
        <a:prstGeom prst="rect">
          <a:avLst/>
        </a:prstGeom>
        <a:ln>
          <a:solidFill>
            <a:sysClr val="windowText" lastClr="000000"/>
          </a:solidFill>
        </a:ln>
      </xdr:spPr>
      <xdr:style>
        <a:lnRef idx="0">
          <a:schemeClr val="accent1"/>
        </a:lnRef>
        <a:fillRef idx="3">
          <a:schemeClr val="accent1"/>
        </a:fillRef>
        <a:effectRef idx="3">
          <a:schemeClr val="accent1"/>
        </a:effectRef>
        <a:fontRef idx="minor">
          <a:schemeClr val="lt1"/>
        </a:fontRef>
      </xdr:style>
      <xdr:txBody>
        <a:bodyPr vertOverflow="clip" horzOverflow="clip" wrap="square" rtlCol="0" anchor="ctr"/>
        <a:lstStyle/>
        <a:p>
          <a:pPr algn="ctr"/>
          <a:r>
            <a:rPr lang="en-US" sz="2400" b="1">
              <a:solidFill>
                <a:schemeClr val="tx1"/>
              </a:solidFill>
            </a:rPr>
            <a:t>Instructions</a:t>
          </a:r>
        </a:p>
        <a:p>
          <a:pPr algn="ctr"/>
          <a:r>
            <a:rPr lang="en-US" sz="1200" b="1">
              <a:solidFill>
                <a:srgbClr val="7030A0"/>
              </a:solidFill>
            </a:rPr>
            <a:t>To enter a new name on the list, use</a:t>
          </a:r>
          <a:r>
            <a:rPr lang="en-US" sz="1200" b="1" baseline="0">
              <a:solidFill>
                <a:srgbClr val="7030A0"/>
              </a:solidFill>
            </a:rPr>
            <a:t> the Macro 'Ctrl-J' to insert </a:t>
          </a:r>
          <a:r>
            <a:rPr lang="en-US" sz="1200" b="1">
              <a:solidFill>
                <a:srgbClr val="7030A0"/>
              </a:solidFill>
            </a:rPr>
            <a:t> blank cells on Line 1.  Type in the new data, Press 'Ctrl-P'</a:t>
          </a:r>
          <a:r>
            <a:rPr lang="en-US" sz="1200" b="1" baseline="0">
              <a:solidFill>
                <a:srgbClr val="7030A0"/>
              </a:solidFill>
            </a:rPr>
            <a:t> to print the report, and then begin a new row with 'Ctrl-J' (If no 'Ctrl-J' macro exists, highlight the data in Row 1, Columns B-J, right click on the selection and choose 'Insert' (shift cells down) to clear Line 1 for the new data entry.)  All new names are entered on Line 1.  This has the advantage of never scrolling the report off the screen as the number of rows increases.  I also put an on-screen reminder to print the report in cell K1</a:t>
          </a:r>
          <a:endParaRPr lang="en-US" sz="1000">
            <a:solidFill>
              <a:srgbClr val="7030A0"/>
            </a:solidFill>
          </a:endParaRPr>
        </a:p>
      </xdr:txBody>
    </xdr:sp>
    <xdr:clientData/>
  </xdr:twoCellAnchor>
  <xdr:twoCellAnchor editAs="oneCell">
    <xdr:from>
      <xdr:col>5</xdr:col>
      <xdr:colOff>0</xdr:colOff>
      <xdr:row>33</xdr:row>
      <xdr:rowOff>0</xdr:rowOff>
    </xdr:from>
    <xdr:to>
      <xdr:col>26</xdr:col>
      <xdr:colOff>141855</xdr:colOff>
      <xdr:row>47</xdr:row>
      <xdr:rowOff>18698</xdr:rowOff>
    </xdr:to>
    <xdr:pic>
      <xdr:nvPicPr>
        <xdr:cNvPr id="3" name="Picture 2"/>
        <xdr:cNvPicPr>
          <a:picLocks noChangeAspect="1"/>
        </xdr:cNvPicPr>
      </xdr:nvPicPr>
      <xdr:blipFill>
        <a:blip xmlns:r="http://schemas.openxmlformats.org/officeDocument/2006/relationships" r:embed="rId1"/>
        <a:stretch>
          <a:fillRect/>
        </a:stretch>
      </xdr:blipFill>
      <xdr:spPr>
        <a:xfrm>
          <a:off x="4210050" y="6619875"/>
          <a:ext cx="8161905" cy="2819048"/>
        </a:xfrm>
        <a:prstGeom prst="rect">
          <a:avLst/>
        </a:prstGeom>
        <a:ln>
          <a:noFill/>
        </a:ln>
        <a:effectLst>
          <a:outerShdw blurRad="292100" dist="139700" dir="2700000" algn="tl" rotWithShape="0">
            <a:srgbClr val="333333">
              <a:alpha val="65000"/>
            </a:srgbClr>
          </a:outerShdw>
        </a:effectLst>
      </xdr:spPr>
    </xdr:pic>
    <xdr:clientData/>
  </xdr:twoCellAnchor>
  <xdr:twoCellAnchor>
    <xdr:from>
      <xdr:col>16</xdr:col>
      <xdr:colOff>0</xdr:colOff>
      <xdr:row>0</xdr:row>
      <xdr:rowOff>0</xdr:rowOff>
    </xdr:from>
    <xdr:to>
      <xdr:col>24</xdr:col>
      <xdr:colOff>38100</xdr:colOff>
      <xdr:row>1</xdr:row>
      <xdr:rowOff>57150</xdr:rowOff>
    </xdr:to>
    <xdr:sp macro="" textlink="">
      <xdr:nvSpPr>
        <xdr:cNvPr id="4" name="TextBox 3">
          <a:hlinkClick xmlns:r="http://schemas.openxmlformats.org/officeDocument/2006/relationships" r:id="rId2"/>
        </xdr:cNvPr>
        <xdr:cNvSpPr txBox="1"/>
      </xdr:nvSpPr>
      <xdr:spPr>
        <a:xfrm>
          <a:off x="9467850" y="0"/>
          <a:ext cx="2247900" cy="257175"/>
        </a:xfrm>
        <a:prstGeom prst="rect">
          <a:avLst/>
        </a:prstGeom>
        <a:solidFill>
          <a:srgbClr val="FF0000"/>
        </a:solidFill>
        <a:ln/>
        <a:scene3d>
          <a:camera prst="orthographicFront"/>
          <a:lightRig rig="threePt" dir="t"/>
        </a:scene3d>
        <a:sp3d>
          <a:bevelT/>
        </a:sp3d>
      </xdr:spPr>
      <xdr:style>
        <a:lnRef idx="0">
          <a:schemeClr val="accent1"/>
        </a:lnRef>
        <a:fillRef idx="3">
          <a:schemeClr val="accent1"/>
        </a:fillRef>
        <a:effectRef idx="3">
          <a:schemeClr val="accent1"/>
        </a:effectRef>
        <a:fontRef idx="minor">
          <a:schemeClr val="lt1"/>
        </a:fontRef>
      </xdr:style>
      <xdr:txBody>
        <a:bodyPr vertOverflow="clip" horzOverflow="clip" wrap="square" rtlCol="0" anchor="ctr"/>
        <a:lstStyle/>
        <a:p>
          <a:pPr algn="ctr"/>
          <a:r>
            <a:rPr lang="en-US" sz="1200" b="1"/>
            <a:t>Return to Summary Worksheet</a:t>
          </a:r>
        </a:p>
      </xdr:txBody>
    </xdr:sp>
    <xdr:clientData/>
  </xdr:twoCellAnchor>
</xdr:wsDr>
</file>

<file path=xl/drawings/drawing53.xml><?xml version="1.0" encoding="utf-8"?>
<xdr:wsDr xmlns:xdr="http://schemas.openxmlformats.org/drawingml/2006/spreadsheetDrawing" xmlns:a="http://schemas.openxmlformats.org/drawingml/2006/main">
  <xdr:twoCellAnchor>
    <xdr:from>
      <xdr:col>10</xdr:col>
      <xdr:colOff>276226</xdr:colOff>
      <xdr:row>17</xdr:row>
      <xdr:rowOff>161925</xdr:rowOff>
    </xdr:from>
    <xdr:to>
      <xdr:col>30</xdr:col>
      <xdr:colOff>257177</xdr:colOff>
      <xdr:row>25</xdr:row>
      <xdr:rowOff>133350</xdr:rowOff>
    </xdr:to>
    <xdr:sp macro="" textlink="">
      <xdr:nvSpPr>
        <xdr:cNvPr id="2" name="TextBox 1"/>
        <xdr:cNvSpPr txBox="1"/>
      </xdr:nvSpPr>
      <xdr:spPr>
        <a:xfrm>
          <a:off x="8077201" y="3581400"/>
          <a:ext cx="5724526" cy="1571625"/>
        </a:xfrm>
        <a:prstGeom prst="rect">
          <a:avLst/>
        </a:prstGeom>
        <a:ln>
          <a:solidFill>
            <a:sysClr val="windowText" lastClr="000000"/>
          </a:solidFill>
        </a:ln>
      </xdr:spPr>
      <xdr:style>
        <a:lnRef idx="0">
          <a:schemeClr val="accent1"/>
        </a:lnRef>
        <a:fillRef idx="3">
          <a:schemeClr val="accent1"/>
        </a:fillRef>
        <a:effectRef idx="3">
          <a:schemeClr val="accent1"/>
        </a:effectRef>
        <a:fontRef idx="minor">
          <a:schemeClr val="lt1"/>
        </a:fontRef>
      </xdr:style>
      <xdr:txBody>
        <a:bodyPr vertOverflow="clip" horzOverflow="clip" wrap="square" rtlCol="0" anchor="ctr"/>
        <a:lstStyle/>
        <a:p>
          <a:pPr algn="ctr"/>
          <a:r>
            <a:rPr lang="en-US" sz="2400" b="1">
              <a:solidFill>
                <a:schemeClr val="tx1"/>
              </a:solidFill>
            </a:rPr>
            <a:t>Instructions</a:t>
          </a:r>
        </a:p>
        <a:p>
          <a:pPr algn="ctr"/>
          <a:r>
            <a:rPr lang="en-US" sz="1200" b="1">
              <a:solidFill>
                <a:schemeClr val="tx1"/>
              </a:solidFill>
            </a:rPr>
            <a:t>Solve the following problem: As new data are entered and the list in columns B through J grows longer, how do you get the pension report (specifically, the cells beginning in columns P and Y containing the Last Name, First Name, Address, Phone, City, State, Zip, Plan and Balance data) to automatically display the last row of data as the data continues to grow? Send your solution</a:t>
          </a:r>
          <a:r>
            <a:rPr lang="en-US" sz="1200" b="1" baseline="0">
              <a:solidFill>
                <a:schemeClr val="tx1"/>
              </a:solidFill>
            </a:rPr>
            <a:t> to me at  </a:t>
          </a:r>
          <a:r>
            <a:rPr lang="en-US" sz="1200" b="1">
              <a:solidFill>
                <a:schemeClr val="tx1"/>
              </a:solidFill>
            </a:rPr>
            <a:t>J. Carlton Collins (carlton@asaresearch.com)  </a:t>
          </a:r>
          <a:endParaRPr lang="en-US" sz="1000"/>
        </a:p>
      </xdr:txBody>
    </xdr:sp>
    <xdr:clientData/>
  </xdr:twoCellAnchor>
  <xdr:twoCellAnchor>
    <xdr:from>
      <xdr:col>17</xdr:col>
      <xdr:colOff>0</xdr:colOff>
      <xdr:row>0</xdr:row>
      <xdr:rowOff>0</xdr:rowOff>
    </xdr:from>
    <xdr:to>
      <xdr:col>25</xdr:col>
      <xdr:colOff>38100</xdr:colOff>
      <xdr:row>1</xdr:row>
      <xdr:rowOff>57150</xdr:rowOff>
    </xdr:to>
    <xdr:sp macro="" textlink="">
      <xdr:nvSpPr>
        <xdr:cNvPr id="3" name="TextBox 2">
          <a:hlinkClick xmlns:r="http://schemas.openxmlformats.org/officeDocument/2006/relationships" r:id="rId1"/>
        </xdr:cNvPr>
        <xdr:cNvSpPr txBox="1"/>
      </xdr:nvSpPr>
      <xdr:spPr>
        <a:xfrm>
          <a:off x="9744075" y="0"/>
          <a:ext cx="2247900" cy="257175"/>
        </a:xfrm>
        <a:prstGeom prst="rect">
          <a:avLst/>
        </a:prstGeom>
        <a:solidFill>
          <a:srgbClr val="FF0000"/>
        </a:solidFill>
        <a:ln/>
        <a:scene3d>
          <a:camera prst="orthographicFront"/>
          <a:lightRig rig="threePt" dir="t"/>
        </a:scene3d>
        <a:sp3d>
          <a:bevelT/>
        </a:sp3d>
      </xdr:spPr>
      <xdr:style>
        <a:lnRef idx="0">
          <a:schemeClr val="accent1"/>
        </a:lnRef>
        <a:fillRef idx="3">
          <a:schemeClr val="accent1"/>
        </a:fillRef>
        <a:effectRef idx="3">
          <a:schemeClr val="accent1"/>
        </a:effectRef>
        <a:fontRef idx="minor">
          <a:schemeClr val="lt1"/>
        </a:fontRef>
      </xdr:style>
      <xdr:txBody>
        <a:bodyPr vertOverflow="clip" horzOverflow="clip" wrap="square" rtlCol="0" anchor="ctr"/>
        <a:lstStyle/>
        <a:p>
          <a:pPr algn="ctr"/>
          <a:r>
            <a:rPr lang="en-US" sz="1200" b="1"/>
            <a:t>Return to Summary Worksheet</a:t>
          </a:r>
        </a:p>
      </xdr:txBody>
    </xdr:sp>
    <xdr:clientData/>
  </xdr:twoCellAnchor>
</xdr:wsDr>
</file>

<file path=xl/drawings/drawing54.xml><?xml version="1.0" encoding="utf-8"?>
<xdr:wsDr xmlns:xdr="http://schemas.openxmlformats.org/drawingml/2006/spreadsheetDrawing" xmlns:a="http://schemas.openxmlformats.org/drawingml/2006/main">
  <xdr:twoCellAnchor>
    <xdr:from>
      <xdr:col>10</xdr:col>
      <xdr:colOff>276226</xdr:colOff>
      <xdr:row>17</xdr:row>
      <xdr:rowOff>161925</xdr:rowOff>
    </xdr:from>
    <xdr:to>
      <xdr:col>30</xdr:col>
      <xdr:colOff>257177</xdr:colOff>
      <xdr:row>25</xdr:row>
      <xdr:rowOff>133350</xdr:rowOff>
    </xdr:to>
    <xdr:sp macro="" textlink="">
      <xdr:nvSpPr>
        <xdr:cNvPr id="2" name="TextBox 1"/>
        <xdr:cNvSpPr txBox="1"/>
      </xdr:nvSpPr>
      <xdr:spPr>
        <a:xfrm>
          <a:off x="8172451" y="3581400"/>
          <a:ext cx="5514976" cy="1571625"/>
        </a:xfrm>
        <a:prstGeom prst="rect">
          <a:avLst/>
        </a:prstGeom>
        <a:ln>
          <a:solidFill>
            <a:sysClr val="windowText" lastClr="000000"/>
          </a:solidFill>
        </a:ln>
      </xdr:spPr>
      <xdr:style>
        <a:lnRef idx="0">
          <a:schemeClr val="accent1"/>
        </a:lnRef>
        <a:fillRef idx="3">
          <a:schemeClr val="accent1"/>
        </a:fillRef>
        <a:effectRef idx="3">
          <a:schemeClr val="accent1"/>
        </a:effectRef>
        <a:fontRef idx="minor">
          <a:schemeClr val="lt1"/>
        </a:fontRef>
      </xdr:style>
      <xdr:txBody>
        <a:bodyPr vertOverflow="clip" horzOverflow="clip" wrap="square" rtlCol="0" anchor="ctr"/>
        <a:lstStyle/>
        <a:p>
          <a:pPr algn="ctr"/>
          <a:r>
            <a:rPr lang="en-US" sz="2400" b="1">
              <a:solidFill>
                <a:schemeClr val="tx1"/>
              </a:solidFill>
            </a:rPr>
            <a:t>Instructions</a:t>
          </a:r>
        </a:p>
        <a:p>
          <a:pPr algn="ctr"/>
          <a:r>
            <a:rPr lang="en-US" sz="1200" b="1">
              <a:solidFill>
                <a:schemeClr val="tx1"/>
              </a:solidFill>
            </a:rPr>
            <a:t>Solve the following problem: As new data are entered and the list in columns B through J grows longer, how do you get the pension report (specifically, the cells beginning in columns P and Y containing the Last Name, First Name, Address, Phone, City, State, Zip, Plan and Balance data) to automatically display the last row of data as the data continues to grow? Send your solution</a:t>
          </a:r>
          <a:r>
            <a:rPr lang="en-US" sz="1200" b="1" baseline="0">
              <a:solidFill>
                <a:schemeClr val="tx1"/>
              </a:solidFill>
            </a:rPr>
            <a:t> to me at  </a:t>
          </a:r>
          <a:r>
            <a:rPr lang="en-US" sz="1200" b="1">
              <a:solidFill>
                <a:schemeClr val="tx1"/>
              </a:solidFill>
            </a:rPr>
            <a:t>J. Carlton Collins (carlton@asaresearch.com)  </a:t>
          </a:r>
          <a:endParaRPr lang="en-US" sz="1000"/>
        </a:p>
      </xdr:txBody>
    </xdr:sp>
    <xdr:clientData/>
  </xdr:twoCellAnchor>
  <xdr:twoCellAnchor>
    <xdr:from>
      <xdr:col>22</xdr:col>
      <xdr:colOff>0</xdr:colOff>
      <xdr:row>0</xdr:row>
      <xdr:rowOff>0</xdr:rowOff>
    </xdr:from>
    <xdr:to>
      <xdr:col>30</xdr:col>
      <xdr:colOff>38100</xdr:colOff>
      <xdr:row>1</xdr:row>
      <xdr:rowOff>57150</xdr:rowOff>
    </xdr:to>
    <xdr:sp macro="" textlink="">
      <xdr:nvSpPr>
        <xdr:cNvPr id="3" name="TextBox 2">
          <a:hlinkClick xmlns:r="http://schemas.openxmlformats.org/officeDocument/2006/relationships" r:id="rId1"/>
        </xdr:cNvPr>
        <xdr:cNvSpPr txBox="1"/>
      </xdr:nvSpPr>
      <xdr:spPr>
        <a:xfrm>
          <a:off x="11125200" y="0"/>
          <a:ext cx="2247900" cy="257175"/>
        </a:xfrm>
        <a:prstGeom prst="rect">
          <a:avLst/>
        </a:prstGeom>
        <a:solidFill>
          <a:srgbClr val="FF0000"/>
        </a:solidFill>
        <a:ln/>
        <a:scene3d>
          <a:camera prst="orthographicFront"/>
          <a:lightRig rig="threePt" dir="t"/>
        </a:scene3d>
        <a:sp3d>
          <a:bevelT/>
        </a:sp3d>
      </xdr:spPr>
      <xdr:style>
        <a:lnRef idx="0">
          <a:schemeClr val="accent1"/>
        </a:lnRef>
        <a:fillRef idx="3">
          <a:schemeClr val="accent1"/>
        </a:fillRef>
        <a:effectRef idx="3">
          <a:schemeClr val="accent1"/>
        </a:effectRef>
        <a:fontRef idx="minor">
          <a:schemeClr val="lt1"/>
        </a:fontRef>
      </xdr:style>
      <xdr:txBody>
        <a:bodyPr vertOverflow="clip" horzOverflow="clip" wrap="square" rtlCol="0" anchor="ctr"/>
        <a:lstStyle/>
        <a:p>
          <a:pPr algn="ctr"/>
          <a:r>
            <a:rPr lang="en-US" sz="1200" b="1"/>
            <a:t>Return to Summary Worksheet</a:t>
          </a:r>
        </a:p>
      </xdr:txBody>
    </xdr:sp>
    <xdr:clientData/>
  </xdr:twoCellAnchor>
</xdr:wsDr>
</file>

<file path=xl/drawings/drawing55.xml><?xml version="1.0" encoding="utf-8"?>
<xdr:wsDr xmlns:xdr="http://schemas.openxmlformats.org/drawingml/2006/spreadsheetDrawing" xmlns:a="http://schemas.openxmlformats.org/drawingml/2006/main">
  <xdr:twoCellAnchor>
    <xdr:from>
      <xdr:col>10</xdr:col>
      <xdr:colOff>276226</xdr:colOff>
      <xdr:row>17</xdr:row>
      <xdr:rowOff>161925</xdr:rowOff>
    </xdr:from>
    <xdr:to>
      <xdr:col>30</xdr:col>
      <xdr:colOff>257177</xdr:colOff>
      <xdr:row>25</xdr:row>
      <xdr:rowOff>133350</xdr:rowOff>
    </xdr:to>
    <xdr:sp macro="" textlink="">
      <xdr:nvSpPr>
        <xdr:cNvPr id="2" name="TextBox 1"/>
        <xdr:cNvSpPr txBox="1"/>
      </xdr:nvSpPr>
      <xdr:spPr>
        <a:xfrm>
          <a:off x="8077201" y="3581400"/>
          <a:ext cx="5514976" cy="1571625"/>
        </a:xfrm>
        <a:prstGeom prst="rect">
          <a:avLst/>
        </a:prstGeom>
        <a:ln>
          <a:solidFill>
            <a:sysClr val="windowText" lastClr="000000"/>
          </a:solidFill>
        </a:ln>
      </xdr:spPr>
      <xdr:style>
        <a:lnRef idx="0">
          <a:schemeClr val="accent1"/>
        </a:lnRef>
        <a:fillRef idx="3">
          <a:schemeClr val="accent1"/>
        </a:fillRef>
        <a:effectRef idx="3">
          <a:schemeClr val="accent1"/>
        </a:effectRef>
        <a:fontRef idx="minor">
          <a:schemeClr val="lt1"/>
        </a:fontRef>
      </xdr:style>
      <xdr:txBody>
        <a:bodyPr vertOverflow="clip" horzOverflow="clip" wrap="square" rtlCol="0" anchor="ctr"/>
        <a:lstStyle/>
        <a:p>
          <a:pPr algn="ctr"/>
          <a:r>
            <a:rPr lang="en-US" sz="2400" b="1">
              <a:solidFill>
                <a:schemeClr val="tx1"/>
              </a:solidFill>
            </a:rPr>
            <a:t>Instructions</a:t>
          </a:r>
        </a:p>
        <a:p>
          <a:pPr algn="ctr"/>
          <a:r>
            <a:rPr lang="en-US" sz="1200" b="1">
              <a:solidFill>
                <a:schemeClr val="tx1"/>
              </a:solidFill>
            </a:rPr>
            <a:t>Solve the following problem: As new data are entered and the list in columns B through J grows longer, how do you get the pension report (specifically, the cells beginning in columns P and Y containing the Last Name, First Name, Address, Phone, City, State, Zip, Plan and Balance data) to automatically display the last row of data as the data continues to grow? Send your solution</a:t>
          </a:r>
          <a:r>
            <a:rPr lang="en-US" sz="1200" b="1" baseline="0">
              <a:solidFill>
                <a:schemeClr val="tx1"/>
              </a:solidFill>
            </a:rPr>
            <a:t> to me at  </a:t>
          </a:r>
          <a:r>
            <a:rPr lang="en-US" sz="1200" b="1">
              <a:solidFill>
                <a:schemeClr val="tx1"/>
              </a:solidFill>
            </a:rPr>
            <a:t>J. Carlton Collins (carlton@asaresearch.com)  </a:t>
          </a:r>
          <a:endParaRPr lang="en-US" sz="1000"/>
        </a:p>
      </xdr:txBody>
    </xdr:sp>
    <xdr:clientData/>
  </xdr:twoCellAnchor>
  <xdr:twoCellAnchor>
    <xdr:from>
      <xdr:col>16</xdr:col>
      <xdr:colOff>0</xdr:colOff>
      <xdr:row>0</xdr:row>
      <xdr:rowOff>0</xdr:rowOff>
    </xdr:from>
    <xdr:to>
      <xdr:col>24</xdr:col>
      <xdr:colOff>38100</xdr:colOff>
      <xdr:row>1</xdr:row>
      <xdr:rowOff>57150</xdr:rowOff>
    </xdr:to>
    <xdr:sp macro="" textlink="">
      <xdr:nvSpPr>
        <xdr:cNvPr id="3" name="TextBox 2">
          <a:hlinkClick xmlns:r="http://schemas.openxmlformats.org/officeDocument/2006/relationships" r:id="rId1"/>
        </xdr:cNvPr>
        <xdr:cNvSpPr txBox="1"/>
      </xdr:nvSpPr>
      <xdr:spPr>
        <a:xfrm>
          <a:off x="9467850" y="0"/>
          <a:ext cx="2247900" cy="257175"/>
        </a:xfrm>
        <a:prstGeom prst="rect">
          <a:avLst/>
        </a:prstGeom>
        <a:solidFill>
          <a:srgbClr val="FF0000"/>
        </a:solidFill>
        <a:ln/>
        <a:scene3d>
          <a:camera prst="orthographicFront"/>
          <a:lightRig rig="threePt" dir="t"/>
        </a:scene3d>
        <a:sp3d>
          <a:bevelT/>
        </a:sp3d>
      </xdr:spPr>
      <xdr:style>
        <a:lnRef idx="0">
          <a:schemeClr val="accent1"/>
        </a:lnRef>
        <a:fillRef idx="3">
          <a:schemeClr val="accent1"/>
        </a:fillRef>
        <a:effectRef idx="3">
          <a:schemeClr val="accent1"/>
        </a:effectRef>
        <a:fontRef idx="minor">
          <a:schemeClr val="lt1"/>
        </a:fontRef>
      </xdr:style>
      <xdr:txBody>
        <a:bodyPr vertOverflow="clip" horzOverflow="clip" wrap="square" rtlCol="0" anchor="ctr"/>
        <a:lstStyle/>
        <a:p>
          <a:pPr algn="ctr"/>
          <a:r>
            <a:rPr lang="en-US" sz="1200" b="1"/>
            <a:t>Return to Summary Worksheet</a:t>
          </a:r>
        </a:p>
      </xdr:txBody>
    </xdr:sp>
    <xdr:clientData/>
  </xdr:twoCellAnchor>
</xdr:wsDr>
</file>

<file path=xl/drawings/drawing56.xml><?xml version="1.0" encoding="utf-8"?>
<xdr:wsDr xmlns:xdr="http://schemas.openxmlformats.org/drawingml/2006/spreadsheetDrawing" xmlns:a="http://schemas.openxmlformats.org/drawingml/2006/main">
  <xdr:twoCellAnchor>
    <xdr:from>
      <xdr:col>11</xdr:col>
      <xdr:colOff>276226</xdr:colOff>
      <xdr:row>17</xdr:row>
      <xdr:rowOff>161925</xdr:rowOff>
    </xdr:from>
    <xdr:to>
      <xdr:col>31</xdr:col>
      <xdr:colOff>257177</xdr:colOff>
      <xdr:row>25</xdr:row>
      <xdr:rowOff>133350</xdr:rowOff>
    </xdr:to>
    <xdr:sp macro="" textlink="">
      <xdr:nvSpPr>
        <xdr:cNvPr id="2" name="TextBox 1"/>
        <xdr:cNvSpPr txBox="1"/>
      </xdr:nvSpPr>
      <xdr:spPr>
        <a:xfrm>
          <a:off x="8763001" y="3581400"/>
          <a:ext cx="5514976" cy="1571625"/>
        </a:xfrm>
        <a:prstGeom prst="rect">
          <a:avLst/>
        </a:prstGeom>
        <a:ln>
          <a:solidFill>
            <a:sysClr val="windowText" lastClr="000000"/>
          </a:solidFill>
        </a:ln>
      </xdr:spPr>
      <xdr:style>
        <a:lnRef idx="0">
          <a:schemeClr val="accent1"/>
        </a:lnRef>
        <a:fillRef idx="3">
          <a:schemeClr val="accent1"/>
        </a:fillRef>
        <a:effectRef idx="3">
          <a:schemeClr val="accent1"/>
        </a:effectRef>
        <a:fontRef idx="minor">
          <a:schemeClr val="lt1"/>
        </a:fontRef>
      </xdr:style>
      <xdr:txBody>
        <a:bodyPr vertOverflow="clip" horzOverflow="clip" wrap="square" rtlCol="0" anchor="ctr"/>
        <a:lstStyle/>
        <a:p>
          <a:pPr algn="ctr"/>
          <a:r>
            <a:rPr lang="en-US" sz="2400" b="1">
              <a:solidFill>
                <a:schemeClr val="tx1"/>
              </a:solidFill>
            </a:rPr>
            <a:t>Instructions</a:t>
          </a:r>
        </a:p>
        <a:p>
          <a:pPr algn="ctr"/>
          <a:r>
            <a:rPr lang="en-US" sz="1200" b="1">
              <a:solidFill>
                <a:schemeClr val="tx1"/>
              </a:solidFill>
            </a:rPr>
            <a:t>Solve the following problem: As new data are entered and the list in columns B through J grows longer, how do you get the pension report (specifically, the cells beginning in columns P and Y containing the Last Name, First Name, Address, Phone, City, State, Zip, Plan and Balance data) to automatically display the last row of data as the data continues to grow? Send your solution</a:t>
          </a:r>
          <a:r>
            <a:rPr lang="en-US" sz="1200" b="1" baseline="0">
              <a:solidFill>
                <a:schemeClr val="tx1"/>
              </a:solidFill>
            </a:rPr>
            <a:t> to me at  </a:t>
          </a:r>
          <a:r>
            <a:rPr lang="en-US" sz="1200" b="1">
              <a:solidFill>
                <a:schemeClr val="tx1"/>
              </a:solidFill>
            </a:rPr>
            <a:t>J. Carlton Collins (carlton@asaresearch.com)  </a:t>
          </a:r>
          <a:endParaRPr lang="en-US" sz="1000"/>
        </a:p>
      </xdr:txBody>
    </xdr:sp>
    <xdr:clientData/>
  </xdr:twoCellAnchor>
  <xdr:twoCellAnchor>
    <xdr:from>
      <xdr:col>16</xdr:col>
      <xdr:colOff>0</xdr:colOff>
      <xdr:row>0</xdr:row>
      <xdr:rowOff>0</xdr:rowOff>
    </xdr:from>
    <xdr:to>
      <xdr:col>24</xdr:col>
      <xdr:colOff>38100</xdr:colOff>
      <xdr:row>1</xdr:row>
      <xdr:rowOff>57150</xdr:rowOff>
    </xdr:to>
    <xdr:sp macro="" textlink="">
      <xdr:nvSpPr>
        <xdr:cNvPr id="3" name="TextBox 2">
          <a:hlinkClick xmlns:r="http://schemas.openxmlformats.org/officeDocument/2006/relationships" r:id="rId1"/>
        </xdr:cNvPr>
        <xdr:cNvSpPr txBox="1"/>
      </xdr:nvSpPr>
      <xdr:spPr>
        <a:xfrm>
          <a:off x="9877425" y="0"/>
          <a:ext cx="2247900" cy="257175"/>
        </a:xfrm>
        <a:prstGeom prst="rect">
          <a:avLst/>
        </a:prstGeom>
        <a:solidFill>
          <a:srgbClr val="FF0000"/>
        </a:solidFill>
        <a:ln/>
        <a:scene3d>
          <a:camera prst="orthographicFront"/>
          <a:lightRig rig="threePt" dir="t"/>
        </a:scene3d>
        <a:sp3d>
          <a:bevelT/>
        </a:sp3d>
      </xdr:spPr>
      <xdr:style>
        <a:lnRef idx="0">
          <a:schemeClr val="accent1"/>
        </a:lnRef>
        <a:fillRef idx="3">
          <a:schemeClr val="accent1"/>
        </a:fillRef>
        <a:effectRef idx="3">
          <a:schemeClr val="accent1"/>
        </a:effectRef>
        <a:fontRef idx="minor">
          <a:schemeClr val="lt1"/>
        </a:fontRef>
      </xdr:style>
      <xdr:txBody>
        <a:bodyPr vertOverflow="clip" horzOverflow="clip" wrap="square" rtlCol="0" anchor="ctr"/>
        <a:lstStyle/>
        <a:p>
          <a:pPr algn="ctr"/>
          <a:r>
            <a:rPr lang="en-US" sz="1200" b="1"/>
            <a:t>Return to Summary Worksheet</a:t>
          </a:r>
        </a:p>
      </xdr:txBody>
    </xdr:sp>
    <xdr:clientData/>
  </xdr:twoCellAnchor>
</xdr:wsDr>
</file>

<file path=xl/drawings/drawing57.xml><?xml version="1.0" encoding="utf-8"?>
<xdr:wsDr xmlns:xdr="http://schemas.openxmlformats.org/drawingml/2006/spreadsheetDrawing" xmlns:a="http://schemas.openxmlformats.org/drawingml/2006/main">
  <xdr:twoCellAnchor>
    <xdr:from>
      <xdr:col>10</xdr:col>
      <xdr:colOff>276226</xdr:colOff>
      <xdr:row>17</xdr:row>
      <xdr:rowOff>161925</xdr:rowOff>
    </xdr:from>
    <xdr:to>
      <xdr:col>30</xdr:col>
      <xdr:colOff>257177</xdr:colOff>
      <xdr:row>25</xdr:row>
      <xdr:rowOff>133350</xdr:rowOff>
    </xdr:to>
    <xdr:sp macro="" textlink="">
      <xdr:nvSpPr>
        <xdr:cNvPr id="2" name="TextBox 1"/>
        <xdr:cNvSpPr txBox="1"/>
      </xdr:nvSpPr>
      <xdr:spPr>
        <a:xfrm>
          <a:off x="8648701" y="3581400"/>
          <a:ext cx="5514976" cy="1571625"/>
        </a:xfrm>
        <a:prstGeom prst="rect">
          <a:avLst/>
        </a:prstGeom>
        <a:ln>
          <a:solidFill>
            <a:sysClr val="windowText" lastClr="000000"/>
          </a:solidFill>
        </a:ln>
      </xdr:spPr>
      <xdr:style>
        <a:lnRef idx="0">
          <a:schemeClr val="accent1"/>
        </a:lnRef>
        <a:fillRef idx="3">
          <a:schemeClr val="accent1"/>
        </a:fillRef>
        <a:effectRef idx="3">
          <a:schemeClr val="accent1"/>
        </a:effectRef>
        <a:fontRef idx="minor">
          <a:schemeClr val="lt1"/>
        </a:fontRef>
      </xdr:style>
      <xdr:txBody>
        <a:bodyPr vertOverflow="clip" horzOverflow="clip" wrap="square" rtlCol="0" anchor="ctr"/>
        <a:lstStyle/>
        <a:p>
          <a:pPr algn="ctr"/>
          <a:r>
            <a:rPr lang="en-US" sz="2400" b="1">
              <a:solidFill>
                <a:schemeClr val="tx1"/>
              </a:solidFill>
            </a:rPr>
            <a:t>Instructions</a:t>
          </a:r>
        </a:p>
        <a:p>
          <a:pPr algn="ctr"/>
          <a:r>
            <a:rPr lang="en-US" sz="1200" b="1">
              <a:solidFill>
                <a:schemeClr val="tx1"/>
              </a:solidFill>
            </a:rPr>
            <a:t>Solve the following problem: As new data are entered and the list in columns B through J grows longer, how do you get the pension report (specifically, the cells beginning in columns P and Y containing the Last Name, First Name, Address, Phone, City, State, Zip, Plan and Balance data) to automatically display the last row of data as the data continues to grow? Send your solution</a:t>
          </a:r>
          <a:r>
            <a:rPr lang="en-US" sz="1200" b="1" baseline="0">
              <a:solidFill>
                <a:schemeClr val="tx1"/>
              </a:solidFill>
            </a:rPr>
            <a:t> to me at  </a:t>
          </a:r>
          <a:r>
            <a:rPr lang="en-US" sz="1200" b="1">
              <a:solidFill>
                <a:schemeClr val="tx1"/>
              </a:solidFill>
            </a:rPr>
            <a:t>J. Carlton Collins (carlton@asaresearch.com)  </a:t>
          </a:r>
          <a:endParaRPr lang="en-US" sz="1000"/>
        </a:p>
      </xdr:txBody>
    </xdr:sp>
    <xdr:clientData/>
  </xdr:twoCellAnchor>
  <xdr:twoCellAnchor>
    <xdr:from>
      <xdr:col>16</xdr:col>
      <xdr:colOff>0</xdr:colOff>
      <xdr:row>0</xdr:row>
      <xdr:rowOff>0</xdr:rowOff>
    </xdr:from>
    <xdr:to>
      <xdr:col>24</xdr:col>
      <xdr:colOff>38100</xdr:colOff>
      <xdr:row>1</xdr:row>
      <xdr:rowOff>57150</xdr:rowOff>
    </xdr:to>
    <xdr:sp macro="" textlink="">
      <xdr:nvSpPr>
        <xdr:cNvPr id="3" name="TextBox 2">
          <a:hlinkClick xmlns:r="http://schemas.openxmlformats.org/officeDocument/2006/relationships" r:id="rId1"/>
        </xdr:cNvPr>
        <xdr:cNvSpPr txBox="1"/>
      </xdr:nvSpPr>
      <xdr:spPr>
        <a:xfrm>
          <a:off x="9467850" y="0"/>
          <a:ext cx="2247900" cy="257175"/>
        </a:xfrm>
        <a:prstGeom prst="rect">
          <a:avLst/>
        </a:prstGeom>
        <a:solidFill>
          <a:srgbClr val="FF0000"/>
        </a:solidFill>
        <a:ln/>
        <a:scene3d>
          <a:camera prst="orthographicFront"/>
          <a:lightRig rig="threePt" dir="t"/>
        </a:scene3d>
        <a:sp3d>
          <a:bevelT/>
        </a:sp3d>
      </xdr:spPr>
      <xdr:style>
        <a:lnRef idx="0">
          <a:schemeClr val="accent1"/>
        </a:lnRef>
        <a:fillRef idx="3">
          <a:schemeClr val="accent1"/>
        </a:fillRef>
        <a:effectRef idx="3">
          <a:schemeClr val="accent1"/>
        </a:effectRef>
        <a:fontRef idx="minor">
          <a:schemeClr val="lt1"/>
        </a:fontRef>
      </xdr:style>
      <xdr:txBody>
        <a:bodyPr vertOverflow="clip" horzOverflow="clip" wrap="square" rtlCol="0" anchor="ctr"/>
        <a:lstStyle/>
        <a:p>
          <a:pPr algn="ctr"/>
          <a:r>
            <a:rPr lang="en-US" sz="1200" b="1"/>
            <a:t>Return to Summary Worksheet</a:t>
          </a:r>
        </a:p>
      </xdr:txBody>
    </xdr:sp>
    <xdr:clientData/>
  </xdr:twoCellAnchor>
</xdr:wsDr>
</file>

<file path=xl/drawings/drawing58.xml><?xml version="1.0" encoding="utf-8"?>
<xdr:wsDr xmlns:xdr="http://schemas.openxmlformats.org/drawingml/2006/spreadsheetDrawing" xmlns:a="http://schemas.openxmlformats.org/drawingml/2006/main">
  <xdr:twoCellAnchor>
    <xdr:from>
      <xdr:col>10</xdr:col>
      <xdr:colOff>276226</xdr:colOff>
      <xdr:row>17</xdr:row>
      <xdr:rowOff>161925</xdr:rowOff>
    </xdr:from>
    <xdr:to>
      <xdr:col>30</xdr:col>
      <xdr:colOff>257177</xdr:colOff>
      <xdr:row>26</xdr:row>
      <xdr:rowOff>161925</xdr:rowOff>
    </xdr:to>
    <xdr:sp macro="" textlink="">
      <xdr:nvSpPr>
        <xdr:cNvPr id="2" name="TextBox 1"/>
        <xdr:cNvSpPr txBox="1"/>
      </xdr:nvSpPr>
      <xdr:spPr>
        <a:xfrm>
          <a:off x="8077201" y="3581400"/>
          <a:ext cx="5514976" cy="1800225"/>
        </a:xfrm>
        <a:prstGeom prst="rect">
          <a:avLst/>
        </a:prstGeom>
        <a:ln>
          <a:solidFill>
            <a:sysClr val="windowText" lastClr="000000"/>
          </a:solidFill>
        </a:ln>
      </xdr:spPr>
      <xdr:style>
        <a:lnRef idx="0">
          <a:schemeClr val="accent1"/>
        </a:lnRef>
        <a:fillRef idx="3">
          <a:schemeClr val="accent1"/>
        </a:fillRef>
        <a:effectRef idx="3">
          <a:schemeClr val="accent1"/>
        </a:effectRef>
        <a:fontRef idx="minor">
          <a:schemeClr val="lt1"/>
        </a:fontRef>
      </xdr:style>
      <xdr:txBody>
        <a:bodyPr vertOverflow="clip" horzOverflow="clip" wrap="square" rtlCol="0" anchor="ctr"/>
        <a:lstStyle/>
        <a:p>
          <a:pPr algn="ctr"/>
          <a:r>
            <a:rPr lang="en-US" sz="2400" b="1">
              <a:solidFill>
                <a:schemeClr val="tx1"/>
              </a:solidFill>
            </a:rPr>
            <a:t>Instructions</a:t>
          </a:r>
        </a:p>
        <a:p>
          <a:pPr algn="ctr"/>
          <a:r>
            <a:rPr lang="en-US" sz="1200" b="1">
              <a:solidFill>
                <a:schemeClr val="tx1"/>
              </a:solidFill>
            </a:rPr>
            <a:t>Solve the following problem: As new data are entered and the list in columns B through J grows longer, how do you get the pension report (specifically, the cells beginning in columns P and Y containing the Last Name, First Name, Address, Phone, City, State, Zip, Plan and Balance data) to automatically display the last row of data as the data continues to grow? Send your solution</a:t>
          </a:r>
          <a:r>
            <a:rPr lang="en-US" sz="1200" b="1" baseline="0">
              <a:solidFill>
                <a:schemeClr val="tx1"/>
              </a:solidFill>
            </a:rPr>
            <a:t> to me at  </a:t>
          </a:r>
          <a:r>
            <a:rPr lang="en-US" sz="1200" b="1">
              <a:solidFill>
                <a:schemeClr val="tx1"/>
              </a:solidFill>
            </a:rPr>
            <a:t>J. Carlton Collins (carlton@asaresearch.com)  </a:t>
          </a:r>
          <a:endParaRPr lang="en-US" sz="1000"/>
        </a:p>
      </xdr:txBody>
    </xdr:sp>
    <xdr:clientData/>
  </xdr:twoCellAnchor>
  <xdr:twoCellAnchor>
    <xdr:from>
      <xdr:col>16</xdr:col>
      <xdr:colOff>0</xdr:colOff>
      <xdr:row>0</xdr:row>
      <xdr:rowOff>0</xdr:rowOff>
    </xdr:from>
    <xdr:to>
      <xdr:col>24</xdr:col>
      <xdr:colOff>38100</xdr:colOff>
      <xdr:row>1</xdr:row>
      <xdr:rowOff>57150</xdr:rowOff>
    </xdr:to>
    <xdr:sp macro="" textlink="">
      <xdr:nvSpPr>
        <xdr:cNvPr id="3" name="TextBox 2">
          <a:hlinkClick xmlns:r="http://schemas.openxmlformats.org/officeDocument/2006/relationships" r:id="rId1"/>
        </xdr:cNvPr>
        <xdr:cNvSpPr txBox="1"/>
      </xdr:nvSpPr>
      <xdr:spPr>
        <a:xfrm>
          <a:off x="9467850" y="0"/>
          <a:ext cx="2247900" cy="257175"/>
        </a:xfrm>
        <a:prstGeom prst="rect">
          <a:avLst/>
        </a:prstGeom>
        <a:solidFill>
          <a:srgbClr val="FF0000"/>
        </a:solidFill>
        <a:ln/>
        <a:scene3d>
          <a:camera prst="orthographicFront"/>
          <a:lightRig rig="threePt" dir="t"/>
        </a:scene3d>
        <a:sp3d>
          <a:bevelT/>
        </a:sp3d>
      </xdr:spPr>
      <xdr:style>
        <a:lnRef idx="0">
          <a:schemeClr val="accent1"/>
        </a:lnRef>
        <a:fillRef idx="3">
          <a:schemeClr val="accent1"/>
        </a:fillRef>
        <a:effectRef idx="3">
          <a:schemeClr val="accent1"/>
        </a:effectRef>
        <a:fontRef idx="minor">
          <a:schemeClr val="lt1"/>
        </a:fontRef>
      </xdr:style>
      <xdr:txBody>
        <a:bodyPr vertOverflow="clip" horzOverflow="clip" wrap="square" rtlCol="0" anchor="ctr"/>
        <a:lstStyle/>
        <a:p>
          <a:pPr algn="ctr"/>
          <a:r>
            <a:rPr lang="en-US" sz="1200" b="1"/>
            <a:t>Return to Summary Worksheet</a:t>
          </a:r>
        </a:p>
      </xdr:txBody>
    </xdr:sp>
    <xdr:clientData/>
  </xdr:twoCellAnchor>
</xdr:wsDr>
</file>

<file path=xl/drawings/drawing59.xml><?xml version="1.0" encoding="utf-8"?>
<xdr:wsDr xmlns:xdr="http://schemas.openxmlformats.org/drawingml/2006/spreadsheetDrawing" xmlns:a="http://schemas.openxmlformats.org/drawingml/2006/main">
  <xdr:twoCellAnchor>
    <xdr:from>
      <xdr:col>10</xdr:col>
      <xdr:colOff>276226</xdr:colOff>
      <xdr:row>17</xdr:row>
      <xdr:rowOff>161925</xdr:rowOff>
    </xdr:from>
    <xdr:to>
      <xdr:col>30</xdr:col>
      <xdr:colOff>257177</xdr:colOff>
      <xdr:row>27</xdr:row>
      <xdr:rowOff>0</xdr:rowOff>
    </xdr:to>
    <xdr:sp macro="" textlink="">
      <xdr:nvSpPr>
        <xdr:cNvPr id="2" name="TextBox 1"/>
        <xdr:cNvSpPr txBox="1"/>
      </xdr:nvSpPr>
      <xdr:spPr>
        <a:xfrm>
          <a:off x="8077201" y="3581400"/>
          <a:ext cx="5514976" cy="1838325"/>
        </a:xfrm>
        <a:prstGeom prst="rect">
          <a:avLst/>
        </a:prstGeom>
        <a:ln>
          <a:solidFill>
            <a:sysClr val="windowText" lastClr="000000"/>
          </a:solidFill>
        </a:ln>
      </xdr:spPr>
      <xdr:style>
        <a:lnRef idx="0">
          <a:schemeClr val="accent1"/>
        </a:lnRef>
        <a:fillRef idx="3">
          <a:schemeClr val="accent1"/>
        </a:fillRef>
        <a:effectRef idx="3">
          <a:schemeClr val="accent1"/>
        </a:effectRef>
        <a:fontRef idx="minor">
          <a:schemeClr val="lt1"/>
        </a:fontRef>
      </xdr:style>
      <xdr:txBody>
        <a:bodyPr vertOverflow="clip" horzOverflow="clip" wrap="square" rtlCol="0" anchor="ctr"/>
        <a:lstStyle/>
        <a:p>
          <a:pPr algn="ctr"/>
          <a:r>
            <a:rPr lang="en-US" sz="2400" b="1">
              <a:solidFill>
                <a:schemeClr val="tx1"/>
              </a:solidFill>
            </a:rPr>
            <a:t>Instructions</a:t>
          </a:r>
        </a:p>
        <a:p>
          <a:pPr algn="ctr"/>
          <a:r>
            <a:rPr lang="en-US" sz="1200" b="1">
              <a:solidFill>
                <a:schemeClr val="tx1"/>
              </a:solidFill>
            </a:rPr>
            <a:t>Solve the following problem: As new data are entered and the list in columns B through J grows longer, how do you get the pension report (specifically, the cells beginning in columns P and Y containing the Last Name, First Name, Address, Phone, City, State, Zip, Plan and Balance data) to automatically display the last row of data as the data continues to grow? Send your solution</a:t>
          </a:r>
          <a:r>
            <a:rPr lang="en-US" sz="1200" b="1" baseline="0">
              <a:solidFill>
                <a:schemeClr val="tx1"/>
              </a:solidFill>
            </a:rPr>
            <a:t> to me at  </a:t>
          </a:r>
          <a:r>
            <a:rPr lang="en-US" sz="1200" b="1">
              <a:solidFill>
                <a:schemeClr val="tx1"/>
              </a:solidFill>
            </a:rPr>
            <a:t>J. Carlton Collins (carlton@asaresearch.com)  </a:t>
          </a:r>
          <a:endParaRPr lang="en-US" sz="1000"/>
        </a:p>
      </xdr:txBody>
    </xdr:sp>
    <xdr:clientData/>
  </xdr:twoCellAnchor>
  <xdr:twoCellAnchor>
    <xdr:from>
      <xdr:col>16</xdr:col>
      <xdr:colOff>0</xdr:colOff>
      <xdr:row>0</xdr:row>
      <xdr:rowOff>0</xdr:rowOff>
    </xdr:from>
    <xdr:to>
      <xdr:col>24</xdr:col>
      <xdr:colOff>38100</xdr:colOff>
      <xdr:row>1</xdr:row>
      <xdr:rowOff>57150</xdr:rowOff>
    </xdr:to>
    <xdr:sp macro="" textlink="">
      <xdr:nvSpPr>
        <xdr:cNvPr id="3" name="TextBox 2">
          <a:hlinkClick xmlns:r="http://schemas.openxmlformats.org/officeDocument/2006/relationships" r:id="rId1"/>
        </xdr:cNvPr>
        <xdr:cNvSpPr txBox="1"/>
      </xdr:nvSpPr>
      <xdr:spPr>
        <a:xfrm>
          <a:off x="9467850" y="0"/>
          <a:ext cx="2247900" cy="257175"/>
        </a:xfrm>
        <a:prstGeom prst="rect">
          <a:avLst/>
        </a:prstGeom>
        <a:solidFill>
          <a:srgbClr val="FF0000"/>
        </a:solidFill>
        <a:ln/>
        <a:scene3d>
          <a:camera prst="orthographicFront"/>
          <a:lightRig rig="threePt" dir="t"/>
        </a:scene3d>
        <a:sp3d>
          <a:bevelT/>
        </a:sp3d>
      </xdr:spPr>
      <xdr:style>
        <a:lnRef idx="0">
          <a:schemeClr val="accent1"/>
        </a:lnRef>
        <a:fillRef idx="3">
          <a:schemeClr val="accent1"/>
        </a:fillRef>
        <a:effectRef idx="3">
          <a:schemeClr val="accent1"/>
        </a:effectRef>
        <a:fontRef idx="minor">
          <a:schemeClr val="lt1"/>
        </a:fontRef>
      </xdr:style>
      <xdr:txBody>
        <a:bodyPr vertOverflow="clip" horzOverflow="clip" wrap="square" rtlCol="0" anchor="ctr"/>
        <a:lstStyle/>
        <a:p>
          <a:pPr algn="ctr"/>
          <a:r>
            <a:rPr lang="en-US" sz="1200" b="1"/>
            <a:t>Return to Summary Worksheet</a:t>
          </a:r>
        </a:p>
      </xdr:txBody>
    </xdr:sp>
    <xdr:clientData/>
  </xdr:twoCellAnchor>
</xdr:wsDr>
</file>

<file path=xl/drawings/drawing60.xml><?xml version="1.0" encoding="utf-8"?>
<xdr:wsDr xmlns:xdr="http://schemas.openxmlformats.org/drawingml/2006/spreadsheetDrawing" xmlns:a="http://schemas.openxmlformats.org/drawingml/2006/main">
  <xdr:twoCellAnchor>
    <xdr:from>
      <xdr:col>10</xdr:col>
      <xdr:colOff>276226</xdr:colOff>
      <xdr:row>17</xdr:row>
      <xdr:rowOff>161925</xdr:rowOff>
    </xdr:from>
    <xdr:to>
      <xdr:col>30</xdr:col>
      <xdr:colOff>257177</xdr:colOff>
      <xdr:row>25</xdr:row>
      <xdr:rowOff>133350</xdr:rowOff>
    </xdr:to>
    <xdr:sp macro="" textlink="">
      <xdr:nvSpPr>
        <xdr:cNvPr id="2" name="TextBox 1"/>
        <xdr:cNvSpPr txBox="1"/>
      </xdr:nvSpPr>
      <xdr:spPr>
        <a:xfrm>
          <a:off x="8077201" y="3581400"/>
          <a:ext cx="6162676" cy="1571625"/>
        </a:xfrm>
        <a:prstGeom prst="rect">
          <a:avLst/>
        </a:prstGeom>
        <a:ln>
          <a:solidFill>
            <a:sysClr val="windowText" lastClr="000000"/>
          </a:solidFill>
        </a:ln>
      </xdr:spPr>
      <xdr:style>
        <a:lnRef idx="0">
          <a:schemeClr val="accent1"/>
        </a:lnRef>
        <a:fillRef idx="3">
          <a:schemeClr val="accent1"/>
        </a:fillRef>
        <a:effectRef idx="3">
          <a:schemeClr val="accent1"/>
        </a:effectRef>
        <a:fontRef idx="minor">
          <a:schemeClr val="lt1"/>
        </a:fontRef>
      </xdr:style>
      <xdr:txBody>
        <a:bodyPr vertOverflow="clip" horzOverflow="clip" wrap="square" rtlCol="0" anchor="ctr"/>
        <a:lstStyle/>
        <a:p>
          <a:pPr algn="ctr"/>
          <a:r>
            <a:rPr lang="en-US" sz="2400" b="1">
              <a:solidFill>
                <a:schemeClr val="tx1"/>
              </a:solidFill>
            </a:rPr>
            <a:t>Instructions</a:t>
          </a:r>
        </a:p>
        <a:p>
          <a:pPr algn="ctr"/>
          <a:r>
            <a:rPr lang="en-US" sz="1200" b="1">
              <a:solidFill>
                <a:schemeClr val="tx1"/>
              </a:solidFill>
            </a:rPr>
            <a:t>Solve the following problem: As new data are entered and the list in columns B through J grows longer, how do you get the pension report (specifically, the cells beginning in columns P and Y containing the Last Name, First Name, Address, Phone, City, State, Zip, Plan and Balance data) to automatically display the last row of data as the data continues to grow? Send your solution</a:t>
          </a:r>
          <a:r>
            <a:rPr lang="en-US" sz="1200" b="1" baseline="0">
              <a:solidFill>
                <a:schemeClr val="tx1"/>
              </a:solidFill>
            </a:rPr>
            <a:t> to me at  </a:t>
          </a:r>
          <a:r>
            <a:rPr lang="en-US" sz="1200" b="1">
              <a:solidFill>
                <a:schemeClr val="tx1"/>
              </a:solidFill>
            </a:rPr>
            <a:t>J. Carlton Collins (carlton@asaresearch.com)  </a:t>
          </a:r>
          <a:endParaRPr lang="en-US" sz="1000"/>
        </a:p>
      </xdr:txBody>
    </xdr:sp>
    <xdr:clientData/>
  </xdr:twoCellAnchor>
  <xdr:twoCellAnchor>
    <xdr:from>
      <xdr:col>16</xdr:col>
      <xdr:colOff>0</xdr:colOff>
      <xdr:row>0</xdr:row>
      <xdr:rowOff>0</xdr:rowOff>
    </xdr:from>
    <xdr:to>
      <xdr:col>24</xdr:col>
      <xdr:colOff>38100</xdr:colOff>
      <xdr:row>1</xdr:row>
      <xdr:rowOff>57150</xdr:rowOff>
    </xdr:to>
    <xdr:sp macro="" textlink="">
      <xdr:nvSpPr>
        <xdr:cNvPr id="3" name="TextBox 2">
          <a:hlinkClick xmlns:r="http://schemas.openxmlformats.org/officeDocument/2006/relationships" r:id="rId1"/>
        </xdr:cNvPr>
        <xdr:cNvSpPr txBox="1"/>
      </xdr:nvSpPr>
      <xdr:spPr>
        <a:xfrm>
          <a:off x="9467850" y="0"/>
          <a:ext cx="2247900" cy="257175"/>
        </a:xfrm>
        <a:prstGeom prst="rect">
          <a:avLst/>
        </a:prstGeom>
        <a:solidFill>
          <a:srgbClr val="FF0000"/>
        </a:solidFill>
        <a:ln/>
        <a:scene3d>
          <a:camera prst="orthographicFront"/>
          <a:lightRig rig="threePt" dir="t"/>
        </a:scene3d>
        <a:sp3d>
          <a:bevelT/>
        </a:sp3d>
      </xdr:spPr>
      <xdr:style>
        <a:lnRef idx="0">
          <a:schemeClr val="accent1"/>
        </a:lnRef>
        <a:fillRef idx="3">
          <a:schemeClr val="accent1"/>
        </a:fillRef>
        <a:effectRef idx="3">
          <a:schemeClr val="accent1"/>
        </a:effectRef>
        <a:fontRef idx="minor">
          <a:schemeClr val="lt1"/>
        </a:fontRef>
      </xdr:style>
      <xdr:txBody>
        <a:bodyPr vertOverflow="clip" horzOverflow="clip" wrap="square" rtlCol="0" anchor="ctr"/>
        <a:lstStyle/>
        <a:p>
          <a:pPr algn="ctr"/>
          <a:r>
            <a:rPr lang="en-US" sz="1200" b="1"/>
            <a:t>Return to Summary Worksheet</a:t>
          </a:r>
        </a:p>
      </xdr:txBody>
    </xdr:sp>
    <xdr:clientData/>
  </xdr:twoCellAnchor>
</xdr:wsDr>
</file>

<file path=xl/drawings/drawing61.xml><?xml version="1.0" encoding="utf-8"?>
<xdr:wsDr xmlns:xdr="http://schemas.openxmlformats.org/drawingml/2006/spreadsheetDrawing" xmlns:a="http://schemas.openxmlformats.org/drawingml/2006/main">
  <xdr:twoCellAnchor>
    <xdr:from>
      <xdr:col>10</xdr:col>
      <xdr:colOff>276226</xdr:colOff>
      <xdr:row>17</xdr:row>
      <xdr:rowOff>161925</xdr:rowOff>
    </xdr:from>
    <xdr:to>
      <xdr:col>30</xdr:col>
      <xdr:colOff>257177</xdr:colOff>
      <xdr:row>25</xdr:row>
      <xdr:rowOff>133350</xdr:rowOff>
    </xdr:to>
    <xdr:sp macro="" textlink="">
      <xdr:nvSpPr>
        <xdr:cNvPr id="2" name="TextBox 1"/>
        <xdr:cNvSpPr txBox="1"/>
      </xdr:nvSpPr>
      <xdr:spPr>
        <a:xfrm>
          <a:off x="8077201" y="3581400"/>
          <a:ext cx="6162676" cy="1571625"/>
        </a:xfrm>
        <a:prstGeom prst="rect">
          <a:avLst/>
        </a:prstGeom>
        <a:ln>
          <a:solidFill>
            <a:sysClr val="windowText" lastClr="000000"/>
          </a:solidFill>
        </a:ln>
      </xdr:spPr>
      <xdr:style>
        <a:lnRef idx="0">
          <a:schemeClr val="accent1"/>
        </a:lnRef>
        <a:fillRef idx="3">
          <a:schemeClr val="accent1"/>
        </a:fillRef>
        <a:effectRef idx="3">
          <a:schemeClr val="accent1"/>
        </a:effectRef>
        <a:fontRef idx="minor">
          <a:schemeClr val="lt1"/>
        </a:fontRef>
      </xdr:style>
      <xdr:txBody>
        <a:bodyPr vertOverflow="clip" horzOverflow="clip" wrap="square" rtlCol="0" anchor="ctr"/>
        <a:lstStyle/>
        <a:p>
          <a:pPr algn="ctr"/>
          <a:r>
            <a:rPr lang="en-US" sz="2400" b="1">
              <a:solidFill>
                <a:schemeClr val="tx1"/>
              </a:solidFill>
            </a:rPr>
            <a:t>Instructions</a:t>
          </a:r>
        </a:p>
        <a:p>
          <a:pPr algn="ctr"/>
          <a:r>
            <a:rPr lang="en-US" sz="1200" b="1">
              <a:solidFill>
                <a:schemeClr val="tx1"/>
              </a:solidFill>
            </a:rPr>
            <a:t>Solve the following problem: As new data are entered and the list in columns B through J grows longer, how do you get the pension report (specifically, the cells beginning in columns P and Y containing the Last Name, First Name, Address, Phone, City, State, Zip, Plan and Balance data) to automatically display the last row of data as the data continues to grow? Send your solution</a:t>
          </a:r>
          <a:r>
            <a:rPr lang="en-US" sz="1200" b="1" baseline="0">
              <a:solidFill>
                <a:schemeClr val="tx1"/>
              </a:solidFill>
            </a:rPr>
            <a:t> to me at  </a:t>
          </a:r>
          <a:r>
            <a:rPr lang="en-US" sz="1200" b="1">
              <a:solidFill>
                <a:schemeClr val="tx1"/>
              </a:solidFill>
            </a:rPr>
            <a:t>J. Carlton Collins (carlton@asaresearch.com)  </a:t>
          </a:r>
          <a:endParaRPr lang="en-US" sz="1000"/>
        </a:p>
      </xdr:txBody>
    </xdr:sp>
    <xdr:clientData/>
  </xdr:twoCellAnchor>
  <xdr:twoCellAnchor>
    <xdr:from>
      <xdr:col>16</xdr:col>
      <xdr:colOff>0</xdr:colOff>
      <xdr:row>0</xdr:row>
      <xdr:rowOff>0</xdr:rowOff>
    </xdr:from>
    <xdr:to>
      <xdr:col>24</xdr:col>
      <xdr:colOff>38100</xdr:colOff>
      <xdr:row>1</xdr:row>
      <xdr:rowOff>57150</xdr:rowOff>
    </xdr:to>
    <xdr:sp macro="" textlink="">
      <xdr:nvSpPr>
        <xdr:cNvPr id="3" name="TextBox 2">
          <a:hlinkClick xmlns:r="http://schemas.openxmlformats.org/officeDocument/2006/relationships" r:id="rId1"/>
        </xdr:cNvPr>
        <xdr:cNvSpPr txBox="1"/>
      </xdr:nvSpPr>
      <xdr:spPr>
        <a:xfrm>
          <a:off x="9467850" y="0"/>
          <a:ext cx="2247900" cy="257175"/>
        </a:xfrm>
        <a:prstGeom prst="rect">
          <a:avLst/>
        </a:prstGeom>
        <a:solidFill>
          <a:srgbClr val="FF0000"/>
        </a:solidFill>
        <a:ln/>
        <a:scene3d>
          <a:camera prst="orthographicFront"/>
          <a:lightRig rig="threePt" dir="t"/>
        </a:scene3d>
        <a:sp3d>
          <a:bevelT/>
        </a:sp3d>
      </xdr:spPr>
      <xdr:style>
        <a:lnRef idx="0">
          <a:schemeClr val="accent1"/>
        </a:lnRef>
        <a:fillRef idx="3">
          <a:schemeClr val="accent1"/>
        </a:fillRef>
        <a:effectRef idx="3">
          <a:schemeClr val="accent1"/>
        </a:effectRef>
        <a:fontRef idx="minor">
          <a:schemeClr val="lt1"/>
        </a:fontRef>
      </xdr:style>
      <xdr:txBody>
        <a:bodyPr vertOverflow="clip" horzOverflow="clip" wrap="square" rtlCol="0" anchor="ctr"/>
        <a:lstStyle/>
        <a:p>
          <a:pPr algn="ctr"/>
          <a:r>
            <a:rPr lang="en-US" sz="1200" b="1"/>
            <a:t>Return to Summary Worksheet</a:t>
          </a:r>
        </a:p>
      </xdr:txBody>
    </xdr:sp>
    <xdr:clientData/>
  </xdr:twoCellAnchor>
</xdr:wsDr>
</file>

<file path=xl/drawings/drawing62.xml><?xml version="1.0" encoding="utf-8"?>
<xdr:wsDr xmlns:xdr="http://schemas.openxmlformats.org/drawingml/2006/spreadsheetDrawing" xmlns:a="http://schemas.openxmlformats.org/drawingml/2006/main">
  <xdr:twoCellAnchor>
    <xdr:from>
      <xdr:col>10</xdr:col>
      <xdr:colOff>276226</xdr:colOff>
      <xdr:row>17</xdr:row>
      <xdr:rowOff>161925</xdr:rowOff>
    </xdr:from>
    <xdr:to>
      <xdr:col>30</xdr:col>
      <xdr:colOff>257177</xdr:colOff>
      <xdr:row>25</xdr:row>
      <xdr:rowOff>133350</xdr:rowOff>
    </xdr:to>
    <xdr:sp macro="" textlink="">
      <xdr:nvSpPr>
        <xdr:cNvPr id="2" name="TextBox 1"/>
        <xdr:cNvSpPr txBox="1"/>
      </xdr:nvSpPr>
      <xdr:spPr>
        <a:xfrm>
          <a:off x="8077201" y="3581400"/>
          <a:ext cx="5514976" cy="1571625"/>
        </a:xfrm>
        <a:prstGeom prst="rect">
          <a:avLst/>
        </a:prstGeom>
        <a:ln>
          <a:solidFill>
            <a:sysClr val="windowText" lastClr="000000"/>
          </a:solidFill>
        </a:ln>
      </xdr:spPr>
      <xdr:style>
        <a:lnRef idx="0">
          <a:schemeClr val="accent1"/>
        </a:lnRef>
        <a:fillRef idx="3">
          <a:schemeClr val="accent1"/>
        </a:fillRef>
        <a:effectRef idx="3">
          <a:schemeClr val="accent1"/>
        </a:effectRef>
        <a:fontRef idx="minor">
          <a:schemeClr val="lt1"/>
        </a:fontRef>
      </xdr:style>
      <xdr:txBody>
        <a:bodyPr vertOverflow="clip" horzOverflow="clip" wrap="square" rtlCol="0" anchor="ctr"/>
        <a:lstStyle/>
        <a:p>
          <a:pPr algn="ctr"/>
          <a:r>
            <a:rPr lang="en-US" sz="2400" b="1">
              <a:solidFill>
                <a:schemeClr val="tx1"/>
              </a:solidFill>
            </a:rPr>
            <a:t>Instructions</a:t>
          </a:r>
        </a:p>
        <a:p>
          <a:pPr algn="ctr"/>
          <a:r>
            <a:rPr lang="en-US" sz="1200" b="1">
              <a:solidFill>
                <a:schemeClr val="tx1"/>
              </a:solidFill>
            </a:rPr>
            <a:t>Solve the following problem: As new data are entered and the list in columns B through J grows longer, how do you get the pension report (specifically, the cells beginning in columns P and Y containing the Last Name, First Name, Address, Phone, City, State, Zip, Plan and Balance data) to automatically display the last row of data as the data continues to grow? Send your solution</a:t>
          </a:r>
          <a:r>
            <a:rPr lang="en-US" sz="1200" b="1" baseline="0">
              <a:solidFill>
                <a:schemeClr val="tx1"/>
              </a:solidFill>
            </a:rPr>
            <a:t> to me at  </a:t>
          </a:r>
          <a:r>
            <a:rPr lang="en-US" sz="1200" b="1">
              <a:solidFill>
                <a:schemeClr val="tx1"/>
              </a:solidFill>
            </a:rPr>
            <a:t>J. Carlton Collins (carlton@asaresearch.com)  </a:t>
          </a:r>
          <a:endParaRPr lang="en-US" sz="1000"/>
        </a:p>
      </xdr:txBody>
    </xdr:sp>
    <xdr:clientData/>
  </xdr:twoCellAnchor>
  <xdr:twoCellAnchor>
    <xdr:from>
      <xdr:col>16</xdr:col>
      <xdr:colOff>0</xdr:colOff>
      <xdr:row>0</xdr:row>
      <xdr:rowOff>0</xdr:rowOff>
    </xdr:from>
    <xdr:to>
      <xdr:col>24</xdr:col>
      <xdr:colOff>38100</xdr:colOff>
      <xdr:row>1</xdr:row>
      <xdr:rowOff>57150</xdr:rowOff>
    </xdr:to>
    <xdr:sp macro="" textlink="">
      <xdr:nvSpPr>
        <xdr:cNvPr id="3" name="TextBox 2">
          <a:hlinkClick xmlns:r="http://schemas.openxmlformats.org/officeDocument/2006/relationships" r:id="rId1"/>
        </xdr:cNvPr>
        <xdr:cNvSpPr txBox="1"/>
      </xdr:nvSpPr>
      <xdr:spPr>
        <a:xfrm>
          <a:off x="9467850" y="0"/>
          <a:ext cx="2247900" cy="257175"/>
        </a:xfrm>
        <a:prstGeom prst="rect">
          <a:avLst/>
        </a:prstGeom>
        <a:solidFill>
          <a:srgbClr val="FF0000"/>
        </a:solidFill>
        <a:ln/>
        <a:scene3d>
          <a:camera prst="orthographicFront"/>
          <a:lightRig rig="threePt" dir="t"/>
        </a:scene3d>
        <a:sp3d>
          <a:bevelT/>
        </a:sp3d>
      </xdr:spPr>
      <xdr:style>
        <a:lnRef idx="0">
          <a:schemeClr val="accent1"/>
        </a:lnRef>
        <a:fillRef idx="3">
          <a:schemeClr val="accent1"/>
        </a:fillRef>
        <a:effectRef idx="3">
          <a:schemeClr val="accent1"/>
        </a:effectRef>
        <a:fontRef idx="minor">
          <a:schemeClr val="lt1"/>
        </a:fontRef>
      </xdr:style>
      <xdr:txBody>
        <a:bodyPr vertOverflow="clip" horzOverflow="clip" wrap="square" rtlCol="0" anchor="ctr"/>
        <a:lstStyle/>
        <a:p>
          <a:pPr algn="ctr"/>
          <a:r>
            <a:rPr lang="en-US" sz="1200" b="1"/>
            <a:t>Return to Summary Worksheet</a:t>
          </a:r>
        </a:p>
      </xdr:txBody>
    </xdr:sp>
    <xdr:clientData/>
  </xdr:twoCellAnchor>
</xdr:wsDr>
</file>

<file path=xl/drawings/drawing63.xml><?xml version="1.0" encoding="utf-8"?>
<xdr:wsDr xmlns:xdr="http://schemas.openxmlformats.org/drawingml/2006/spreadsheetDrawing" xmlns:a="http://schemas.openxmlformats.org/drawingml/2006/main">
  <xdr:twoCellAnchor>
    <xdr:from>
      <xdr:col>10</xdr:col>
      <xdr:colOff>276226</xdr:colOff>
      <xdr:row>17</xdr:row>
      <xdr:rowOff>161925</xdr:rowOff>
    </xdr:from>
    <xdr:to>
      <xdr:col>30</xdr:col>
      <xdr:colOff>257177</xdr:colOff>
      <xdr:row>25</xdr:row>
      <xdr:rowOff>133350</xdr:rowOff>
    </xdr:to>
    <xdr:sp macro="" textlink="">
      <xdr:nvSpPr>
        <xdr:cNvPr id="2" name="TextBox 1"/>
        <xdr:cNvSpPr txBox="1"/>
      </xdr:nvSpPr>
      <xdr:spPr>
        <a:xfrm>
          <a:off x="8077201" y="3581400"/>
          <a:ext cx="5514976" cy="1571625"/>
        </a:xfrm>
        <a:prstGeom prst="rect">
          <a:avLst/>
        </a:prstGeom>
        <a:ln>
          <a:solidFill>
            <a:sysClr val="windowText" lastClr="000000"/>
          </a:solidFill>
        </a:ln>
      </xdr:spPr>
      <xdr:style>
        <a:lnRef idx="0">
          <a:schemeClr val="accent1"/>
        </a:lnRef>
        <a:fillRef idx="3">
          <a:schemeClr val="accent1"/>
        </a:fillRef>
        <a:effectRef idx="3">
          <a:schemeClr val="accent1"/>
        </a:effectRef>
        <a:fontRef idx="minor">
          <a:schemeClr val="lt1"/>
        </a:fontRef>
      </xdr:style>
      <xdr:txBody>
        <a:bodyPr vertOverflow="clip" horzOverflow="clip" wrap="square" rtlCol="0" anchor="ctr"/>
        <a:lstStyle/>
        <a:p>
          <a:pPr algn="ctr"/>
          <a:r>
            <a:rPr lang="en-US" sz="2400" b="1">
              <a:solidFill>
                <a:schemeClr val="tx1"/>
              </a:solidFill>
            </a:rPr>
            <a:t>Instructions</a:t>
          </a:r>
        </a:p>
        <a:p>
          <a:pPr algn="ctr"/>
          <a:r>
            <a:rPr lang="en-US" sz="1200" b="1">
              <a:solidFill>
                <a:schemeClr val="tx1"/>
              </a:solidFill>
            </a:rPr>
            <a:t>Solve the following problem: As new data are entered and the list in columns B through J grows longer, how do you get the pension report (specifically, the cells beginning in columns P and Y containing the Last Name, First Name, Address, Phone, City, State, Zip, Plan and Balance data) to automatically display the last row of data as the data continues to grow? Send your solution</a:t>
          </a:r>
          <a:r>
            <a:rPr lang="en-US" sz="1200" b="1" baseline="0">
              <a:solidFill>
                <a:schemeClr val="tx1"/>
              </a:solidFill>
            </a:rPr>
            <a:t> to me at  </a:t>
          </a:r>
          <a:r>
            <a:rPr lang="en-US" sz="1200" b="1">
              <a:solidFill>
                <a:schemeClr val="tx1"/>
              </a:solidFill>
            </a:rPr>
            <a:t>J. Carlton Collins (carlton@asaresearch.com)  </a:t>
          </a:r>
          <a:endParaRPr lang="en-US" sz="1000"/>
        </a:p>
      </xdr:txBody>
    </xdr:sp>
    <xdr:clientData/>
  </xdr:twoCellAnchor>
  <xdr:twoCellAnchor>
    <xdr:from>
      <xdr:col>16</xdr:col>
      <xdr:colOff>0</xdr:colOff>
      <xdr:row>0</xdr:row>
      <xdr:rowOff>0</xdr:rowOff>
    </xdr:from>
    <xdr:to>
      <xdr:col>24</xdr:col>
      <xdr:colOff>38100</xdr:colOff>
      <xdr:row>1</xdr:row>
      <xdr:rowOff>57150</xdr:rowOff>
    </xdr:to>
    <xdr:sp macro="" textlink="">
      <xdr:nvSpPr>
        <xdr:cNvPr id="3" name="TextBox 2">
          <a:hlinkClick xmlns:r="http://schemas.openxmlformats.org/officeDocument/2006/relationships" r:id="rId1"/>
        </xdr:cNvPr>
        <xdr:cNvSpPr txBox="1"/>
      </xdr:nvSpPr>
      <xdr:spPr>
        <a:xfrm>
          <a:off x="9467850" y="0"/>
          <a:ext cx="2247900" cy="257175"/>
        </a:xfrm>
        <a:prstGeom prst="rect">
          <a:avLst/>
        </a:prstGeom>
        <a:solidFill>
          <a:srgbClr val="FF0000"/>
        </a:solidFill>
        <a:ln/>
        <a:scene3d>
          <a:camera prst="orthographicFront"/>
          <a:lightRig rig="threePt" dir="t"/>
        </a:scene3d>
        <a:sp3d>
          <a:bevelT/>
        </a:sp3d>
      </xdr:spPr>
      <xdr:style>
        <a:lnRef idx="0">
          <a:schemeClr val="accent1"/>
        </a:lnRef>
        <a:fillRef idx="3">
          <a:schemeClr val="accent1"/>
        </a:fillRef>
        <a:effectRef idx="3">
          <a:schemeClr val="accent1"/>
        </a:effectRef>
        <a:fontRef idx="minor">
          <a:schemeClr val="lt1"/>
        </a:fontRef>
      </xdr:style>
      <xdr:txBody>
        <a:bodyPr vertOverflow="clip" horzOverflow="clip" wrap="square" rtlCol="0" anchor="ctr"/>
        <a:lstStyle/>
        <a:p>
          <a:pPr algn="ctr"/>
          <a:r>
            <a:rPr lang="en-US" sz="1200" b="1"/>
            <a:t>Return to Summary Worksheet</a:t>
          </a:r>
        </a:p>
      </xdr:txBody>
    </xdr:sp>
    <xdr:clientData/>
  </xdr:twoCellAnchor>
</xdr:wsDr>
</file>

<file path=xl/drawings/drawing64.xml><?xml version="1.0" encoding="utf-8"?>
<xdr:wsDr xmlns:xdr="http://schemas.openxmlformats.org/drawingml/2006/spreadsheetDrawing" xmlns:a="http://schemas.openxmlformats.org/drawingml/2006/main">
  <xdr:twoCellAnchor>
    <xdr:from>
      <xdr:col>11</xdr:col>
      <xdr:colOff>276226</xdr:colOff>
      <xdr:row>17</xdr:row>
      <xdr:rowOff>161925</xdr:rowOff>
    </xdr:from>
    <xdr:to>
      <xdr:col>31</xdr:col>
      <xdr:colOff>257177</xdr:colOff>
      <xdr:row>25</xdr:row>
      <xdr:rowOff>133350</xdr:rowOff>
    </xdr:to>
    <xdr:sp macro="" textlink="">
      <xdr:nvSpPr>
        <xdr:cNvPr id="2" name="TextBox 1"/>
        <xdr:cNvSpPr txBox="1"/>
      </xdr:nvSpPr>
      <xdr:spPr>
        <a:xfrm>
          <a:off x="8220076" y="3581400"/>
          <a:ext cx="5514976" cy="1571625"/>
        </a:xfrm>
        <a:prstGeom prst="rect">
          <a:avLst/>
        </a:prstGeom>
        <a:ln>
          <a:solidFill>
            <a:sysClr val="windowText" lastClr="000000"/>
          </a:solidFill>
        </a:ln>
      </xdr:spPr>
      <xdr:style>
        <a:lnRef idx="0">
          <a:schemeClr val="accent1"/>
        </a:lnRef>
        <a:fillRef idx="3">
          <a:schemeClr val="accent1"/>
        </a:fillRef>
        <a:effectRef idx="3">
          <a:schemeClr val="accent1"/>
        </a:effectRef>
        <a:fontRef idx="minor">
          <a:schemeClr val="lt1"/>
        </a:fontRef>
      </xdr:style>
      <xdr:txBody>
        <a:bodyPr vertOverflow="clip" horzOverflow="clip" wrap="square" rtlCol="0" anchor="ctr"/>
        <a:lstStyle/>
        <a:p>
          <a:pPr algn="ctr"/>
          <a:r>
            <a:rPr lang="en-US" sz="2400" b="1">
              <a:solidFill>
                <a:schemeClr val="tx1"/>
              </a:solidFill>
            </a:rPr>
            <a:t>Instructions</a:t>
          </a:r>
        </a:p>
        <a:p>
          <a:pPr algn="ctr"/>
          <a:r>
            <a:rPr lang="en-US" sz="1200" b="1">
              <a:solidFill>
                <a:schemeClr val="tx1"/>
              </a:solidFill>
            </a:rPr>
            <a:t>Solve the following problem: As new data are entered and the list in columns B through J grows longer, how do you get the pension report (specifically, the cells beginning in columns P and Y containing the Last Name, First Name, Address, Phone, City, State, Zip, Plan and Balance data) to automatically display the last row of data as the data continues to grow? Send your solution</a:t>
          </a:r>
          <a:r>
            <a:rPr lang="en-US" sz="1200" b="1" baseline="0">
              <a:solidFill>
                <a:schemeClr val="tx1"/>
              </a:solidFill>
            </a:rPr>
            <a:t> to me at  </a:t>
          </a:r>
          <a:r>
            <a:rPr lang="en-US" sz="1200" b="1">
              <a:solidFill>
                <a:schemeClr val="tx1"/>
              </a:solidFill>
            </a:rPr>
            <a:t>J. Carlton Collins (carlton@asaresearch.com)  </a:t>
          </a:r>
          <a:endParaRPr lang="en-US" sz="1000"/>
        </a:p>
      </xdr:txBody>
    </xdr:sp>
    <xdr:clientData/>
  </xdr:twoCellAnchor>
  <xdr:twoCellAnchor>
    <xdr:from>
      <xdr:col>16</xdr:col>
      <xdr:colOff>0</xdr:colOff>
      <xdr:row>0</xdr:row>
      <xdr:rowOff>0</xdr:rowOff>
    </xdr:from>
    <xdr:to>
      <xdr:col>24</xdr:col>
      <xdr:colOff>38100</xdr:colOff>
      <xdr:row>1</xdr:row>
      <xdr:rowOff>57150</xdr:rowOff>
    </xdr:to>
    <xdr:sp macro="" textlink="">
      <xdr:nvSpPr>
        <xdr:cNvPr id="3" name="TextBox 2">
          <a:hlinkClick xmlns:r="http://schemas.openxmlformats.org/officeDocument/2006/relationships" r:id="rId1"/>
        </xdr:cNvPr>
        <xdr:cNvSpPr txBox="1"/>
      </xdr:nvSpPr>
      <xdr:spPr>
        <a:xfrm>
          <a:off x="9334500" y="0"/>
          <a:ext cx="2247900" cy="257175"/>
        </a:xfrm>
        <a:prstGeom prst="rect">
          <a:avLst/>
        </a:prstGeom>
        <a:solidFill>
          <a:srgbClr val="FF0000"/>
        </a:solidFill>
        <a:ln/>
        <a:scene3d>
          <a:camera prst="orthographicFront"/>
          <a:lightRig rig="threePt" dir="t"/>
        </a:scene3d>
        <a:sp3d>
          <a:bevelT/>
        </a:sp3d>
      </xdr:spPr>
      <xdr:style>
        <a:lnRef idx="0">
          <a:schemeClr val="accent1"/>
        </a:lnRef>
        <a:fillRef idx="3">
          <a:schemeClr val="accent1"/>
        </a:fillRef>
        <a:effectRef idx="3">
          <a:schemeClr val="accent1"/>
        </a:effectRef>
        <a:fontRef idx="minor">
          <a:schemeClr val="lt1"/>
        </a:fontRef>
      </xdr:style>
      <xdr:txBody>
        <a:bodyPr vertOverflow="clip" horzOverflow="clip" wrap="square" rtlCol="0" anchor="ctr"/>
        <a:lstStyle/>
        <a:p>
          <a:pPr algn="ctr"/>
          <a:r>
            <a:rPr lang="en-US" sz="1200" b="1"/>
            <a:t>Return to Summary Worksheet</a:t>
          </a:r>
        </a:p>
      </xdr:txBody>
    </xdr:sp>
    <xdr:clientData/>
  </xdr:twoCellAnchor>
</xdr:wsDr>
</file>

<file path=xl/drawings/drawing65.xml><?xml version="1.0" encoding="utf-8"?>
<xdr:wsDr xmlns:xdr="http://schemas.openxmlformats.org/drawingml/2006/spreadsheetDrawing" xmlns:a="http://schemas.openxmlformats.org/drawingml/2006/main">
  <xdr:twoCellAnchor>
    <xdr:from>
      <xdr:col>10</xdr:col>
      <xdr:colOff>276226</xdr:colOff>
      <xdr:row>17</xdr:row>
      <xdr:rowOff>161925</xdr:rowOff>
    </xdr:from>
    <xdr:to>
      <xdr:col>30</xdr:col>
      <xdr:colOff>257177</xdr:colOff>
      <xdr:row>25</xdr:row>
      <xdr:rowOff>133350</xdr:rowOff>
    </xdr:to>
    <xdr:sp macro="" textlink="">
      <xdr:nvSpPr>
        <xdr:cNvPr id="2" name="TextBox 1"/>
        <xdr:cNvSpPr txBox="1"/>
      </xdr:nvSpPr>
      <xdr:spPr>
        <a:xfrm>
          <a:off x="8201026" y="3581400"/>
          <a:ext cx="5838826" cy="1571625"/>
        </a:xfrm>
        <a:prstGeom prst="rect">
          <a:avLst/>
        </a:prstGeom>
        <a:ln>
          <a:solidFill>
            <a:sysClr val="windowText" lastClr="000000"/>
          </a:solidFill>
        </a:ln>
      </xdr:spPr>
      <xdr:style>
        <a:lnRef idx="0">
          <a:schemeClr val="accent1"/>
        </a:lnRef>
        <a:fillRef idx="3">
          <a:schemeClr val="accent1"/>
        </a:fillRef>
        <a:effectRef idx="3">
          <a:schemeClr val="accent1"/>
        </a:effectRef>
        <a:fontRef idx="minor">
          <a:schemeClr val="lt1"/>
        </a:fontRef>
      </xdr:style>
      <xdr:txBody>
        <a:bodyPr vertOverflow="clip" horzOverflow="clip" wrap="square" rtlCol="0" anchor="ctr"/>
        <a:lstStyle/>
        <a:p>
          <a:pPr algn="ctr"/>
          <a:r>
            <a:rPr lang="en-US" sz="2400" b="1">
              <a:solidFill>
                <a:schemeClr val="tx1"/>
              </a:solidFill>
            </a:rPr>
            <a:t>Instructions</a:t>
          </a:r>
        </a:p>
        <a:p>
          <a:pPr algn="ctr"/>
          <a:r>
            <a:rPr lang="en-US" sz="1200" b="1">
              <a:solidFill>
                <a:schemeClr val="tx1"/>
              </a:solidFill>
            </a:rPr>
            <a:t>Solve the following problem: As new data are entered and the list in columns B through J grows longer, how do you get the pension report (specifically, the cells beginning in columns P and Y containing the Last Name, First Name, Address, Phone, City, State, Zip, Plan and Balance data) to automatically display the last row of data as the data continues to grow? Send your solution</a:t>
          </a:r>
          <a:r>
            <a:rPr lang="en-US" sz="1200" b="1" baseline="0">
              <a:solidFill>
                <a:schemeClr val="tx1"/>
              </a:solidFill>
            </a:rPr>
            <a:t> to me at  </a:t>
          </a:r>
          <a:r>
            <a:rPr lang="en-US" sz="1200" b="1">
              <a:solidFill>
                <a:schemeClr val="tx1"/>
              </a:solidFill>
            </a:rPr>
            <a:t>J. Carlton Collins (carlton@asaresearch.com)  </a:t>
          </a:r>
          <a:endParaRPr lang="en-US" sz="1000"/>
        </a:p>
      </xdr:txBody>
    </xdr:sp>
    <xdr:clientData/>
  </xdr:twoCellAnchor>
  <xdr:twoCellAnchor>
    <xdr:from>
      <xdr:col>16</xdr:col>
      <xdr:colOff>0</xdr:colOff>
      <xdr:row>0</xdr:row>
      <xdr:rowOff>0</xdr:rowOff>
    </xdr:from>
    <xdr:to>
      <xdr:col>24</xdr:col>
      <xdr:colOff>38100</xdr:colOff>
      <xdr:row>1</xdr:row>
      <xdr:rowOff>57150</xdr:rowOff>
    </xdr:to>
    <xdr:sp macro="" textlink="">
      <xdr:nvSpPr>
        <xdr:cNvPr id="3" name="TextBox 2">
          <a:hlinkClick xmlns:r="http://schemas.openxmlformats.org/officeDocument/2006/relationships" r:id="rId1"/>
        </xdr:cNvPr>
        <xdr:cNvSpPr txBox="1"/>
      </xdr:nvSpPr>
      <xdr:spPr>
        <a:xfrm>
          <a:off x="9915525" y="0"/>
          <a:ext cx="2247900" cy="257175"/>
        </a:xfrm>
        <a:prstGeom prst="rect">
          <a:avLst/>
        </a:prstGeom>
        <a:solidFill>
          <a:srgbClr val="FF0000"/>
        </a:solidFill>
        <a:ln/>
        <a:scene3d>
          <a:camera prst="orthographicFront"/>
          <a:lightRig rig="threePt" dir="t"/>
        </a:scene3d>
        <a:sp3d>
          <a:bevelT/>
        </a:sp3d>
      </xdr:spPr>
      <xdr:style>
        <a:lnRef idx="0">
          <a:schemeClr val="accent1"/>
        </a:lnRef>
        <a:fillRef idx="3">
          <a:schemeClr val="accent1"/>
        </a:fillRef>
        <a:effectRef idx="3">
          <a:schemeClr val="accent1"/>
        </a:effectRef>
        <a:fontRef idx="minor">
          <a:schemeClr val="lt1"/>
        </a:fontRef>
      </xdr:style>
      <xdr:txBody>
        <a:bodyPr vertOverflow="clip" horzOverflow="clip" wrap="square" rtlCol="0" anchor="ctr"/>
        <a:lstStyle/>
        <a:p>
          <a:pPr algn="ctr"/>
          <a:r>
            <a:rPr lang="en-US" sz="1200" b="1"/>
            <a:t>Return to Summary Worksheet</a:t>
          </a:r>
        </a:p>
      </xdr:txBody>
    </xdr:sp>
    <xdr:clientData/>
  </xdr:twoCellAnchor>
</xdr:wsDr>
</file>

<file path=xl/drawings/drawing66.xml><?xml version="1.0" encoding="utf-8"?>
<xdr:wsDr xmlns:xdr="http://schemas.openxmlformats.org/drawingml/2006/spreadsheetDrawing" xmlns:a="http://schemas.openxmlformats.org/drawingml/2006/main">
  <xdr:twoCellAnchor>
    <xdr:from>
      <xdr:col>10</xdr:col>
      <xdr:colOff>276226</xdr:colOff>
      <xdr:row>17</xdr:row>
      <xdr:rowOff>161925</xdr:rowOff>
    </xdr:from>
    <xdr:to>
      <xdr:col>30</xdr:col>
      <xdr:colOff>257177</xdr:colOff>
      <xdr:row>25</xdr:row>
      <xdr:rowOff>133350</xdr:rowOff>
    </xdr:to>
    <xdr:sp macro="" textlink="">
      <xdr:nvSpPr>
        <xdr:cNvPr id="2" name="TextBox 1"/>
        <xdr:cNvSpPr txBox="1"/>
      </xdr:nvSpPr>
      <xdr:spPr>
        <a:xfrm>
          <a:off x="8077201" y="3581400"/>
          <a:ext cx="5514976" cy="1571625"/>
        </a:xfrm>
        <a:prstGeom prst="rect">
          <a:avLst/>
        </a:prstGeom>
        <a:ln>
          <a:solidFill>
            <a:sysClr val="windowText" lastClr="000000"/>
          </a:solidFill>
        </a:ln>
      </xdr:spPr>
      <xdr:style>
        <a:lnRef idx="0">
          <a:schemeClr val="accent1"/>
        </a:lnRef>
        <a:fillRef idx="3">
          <a:schemeClr val="accent1"/>
        </a:fillRef>
        <a:effectRef idx="3">
          <a:schemeClr val="accent1"/>
        </a:effectRef>
        <a:fontRef idx="minor">
          <a:schemeClr val="lt1"/>
        </a:fontRef>
      </xdr:style>
      <xdr:txBody>
        <a:bodyPr vertOverflow="clip" horzOverflow="clip" wrap="square" rtlCol="0" anchor="ctr"/>
        <a:lstStyle/>
        <a:p>
          <a:pPr algn="ctr"/>
          <a:r>
            <a:rPr lang="en-US" sz="2400" b="1">
              <a:solidFill>
                <a:schemeClr val="tx1"/>
              </a:solidFill>
            </a:rPr>
            <a:t>Instructions</a:t>
          </a:r>
        </a:p>
        <a:p>
          <a:pPr algn="ctr"/>
          <a:r>
            <a:rPr lang="en-US" sz="1200" b="1">
              <a:solidFill>
                <a:schemeClr val="tx1"/>
              </a:solidFill>
            </a:rPr>
            <a:t>Solve the following problem: As new data are entered and the list in columns B through J grows longer, how do you get the pension report (specifically, the cells beginning in columns P and Y containing the Last Name, First Name, Address, Phone, City, State, Zip, Plan and Balance data) to automatically display the last row of data as the data continues to grow? Send your solution</a:t>
          </a:r>
          <a:r>
            <a:rPr lang="en-US" sz="1200" b="1" baseline="0">
              <a:solidFill>
                <a:schemeClr val="tx1"/>
              </a:solidFill>
            </a:rPr>
            <a:t> to me at  </a:t>
          </a:r>
          <a:r>
            <a:rPr lang="en-US" sz="1200" b="1">
              <a:solidFill>
                <a:schemeClr val="tx1"/>
              </a:solidFill>
            </a:rPr>
            <a:t>J. Carlton Collins (carlton@asaresearch.com)  </a:t>
          </a:r>
          <a:endParaRPr lang="en-US" sz="1000"/>
        </a:p>
      </xdr:txBody>
    </xdr:sp>
    <xdr:clientData/>
  </xdr:twoCellAnchor>
  <xdr:twoCellAnchor>
    <xdr:from>
      <xdr:col>16</xdr:col>
      <xdr:colOff>0</xdr:colOff>
      <xdr:row>0</xdr:row>
      <xdr:rowOff>0</xdr:rowOff>
    </xdr:from>
    <xdr:to>
      <xdr:col>24</xdr:col>
      <xdr:colOff>38100</xdr:colOff>
      <xdr:row>1</xdr:row>
      <xdr:rowOff>57150</xdr:rowOff>
    </xdr:to>
    <xdr:sp macro="" textlink="">
      <xdr:nvSpPr>
        <xdr:cNvPr id="3" name="TextBox 2">
          <a:hlinkClick xmlns:r="http://schemas.openxmlformats.org/officeDocument/2006/relationships" r:id="rId1"/>
        </xdr:cNvPr>
        <xdr:cNvSpPr txBox="1"/>
      </xdr:nvSpPr>
      <xdr:spPr>
        <a:xfrm>
          <a:off x="9467850" y="0"/>
          <a:ext cx="2247900" cy="257175"/>
        </a:xfrm>
        <a:prstGeom prst="rect">
          <a:avLst/>
        </a:prstGeom>
        <a:solidFill>
          <a:srgbClr val="FF0000"/>
        </a:solidFill>
        <a:ln/>
        <a:scene3d>
          <a:camera prst="orthographicFront"/>
          <a:lightRig rig="threePt" dir="t"/>
        </a:scene3d>
        <a:sp3d>
          <a:bevelT/>
        </a:sp3d>
      </xdr:spPr>
      <xdr:style>
        <a:lnRef idx="0">
          <a:schemeClr val="accent1"/>
        </a:lnRef>
        <a:fillRef idx="3">
          <a:schemeClr val="accent1"/>
        </a:fillRef>
        <a:effectRef idx="3">
          <a:schemeClr val="accent1"/>
        </a:effectRef>
        <a:fontRef idx="minor">
          <a:schemeClr val="lt1"/>
        </a:fontRef>
      </xdr:style>
      <xdr:txBody>
        <a:bodyPr vertOverflow="clip" horzOverflow="clip" wrap="square" rtlCol="0" anchor="ctr"/>
        <a:lstStyle/>
        <a:p>
          <a:pPr algn="ctr"/>
          <a:r>
            <a:rPr lang="en-US" sz="1200" b="1"/>
            <a:t>Return to Summary Worksheet</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carltoncollins.com/Users/Carlton/AppData/Local/Microsoft/Windows/Temporary%20Internet%20Files/Content.Outlook/0JCEAR49/Solution%20-%20Kittrel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arlton/AppData/Local/Microsoft/Windows/Temporary%20Internet%20Files/Content.Outlook/0JCEAR49/Copy%20of%20test%20xlsx%20(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st"/>
      <sheetName val="Solution - Kittrell"/>
    </sheetNames>
    <sheetDataSet>
      <sheetData sheetId="0"/>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Pivot table"/>
    </sheetNames>
    <sheetDataSet>
      <sheetData sheetId="0"/>
      <sheetData sheetId="1">
        <row r="2">
          <cell r="B2" t="str">
            <v>Collins</v>
          </cell>
          <cell r="C2" t="str">
            <v>Carlton</v>
          </cell>
          <cell r="D2" t="str">
            <v>100 Peachtree Street</v>
          </cell>
          <cell r="E2" t="str">
            <v>Norcross</v>
          </cell>
          <cell r="F2" t="str">
            <v xml:space="preserve">GA </v>
          </cell>
          <cell r="G2">
            <v>30092</v>
          </cell>
          <cell r="H2" t="str">
            <v>770.842.5902</v>
          </cell>
          <cell r="I2" t="str">
            <v>Plan A</v>
          </cell>
          <cell r="J2">
            <v>124533.45</v>
          </cell>
        </row>
      </sheetData>
    </sheetDataSet>
  </externalBook>
</externalLink>
</file>

<file path=xl/pivotCache/_rels/pivotCacheDefinition1.xml.rels><?xml version="1.0" encoding="UTF-8" standalone="yes"?>
<Relationships xmlns="http://schemas.openxmlformats.org/package/2006/relationships"><Relationship Id="rId2" Type="http://schemas.openxmlformats.org/officeDocument/2006/relationships/externalLinkPath" Target="http://www.carltoncollins.com/Users/Carlton/AppData/Local/Microsoft/Windows/Temporary%20Internet%20Files/Content.Outlook/0JCEAR49/Copy%20of%20test%20xlsx.xlsm"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J. Carlton Collins" refreshedDate="41489.736718749999" createdVersion="4" refreshedVersion="5" minRefreshableVersion="3" recordCount="101">
  <cacheSource type="worksheet">
    <worksheetSource name="Table1" r:id="rId2"/>
  </cacheSource>
  <cacheFields count="10">
    <cacheField name="Number" numFmtId="0">
      <sharedItems containsSemiMixedTypes="0" containsString="0" containsNumber="1" containsInteger="1" minValue="1" maxValue="101" count="101">
        <n v="1"/>
        <n v="2"/>
        <n v="3"/>
        <n v="4"/>
        <n v="5"/>
        <n v="6"/>
        <n v="7"/>
        <n v="8"/>
        <n v="9"/>
        <n v="10"/>
        <n v="11"/>
        <n v="12"/>
        <n v="13"/>
        <n v="14"/>
        <n v="15"/>
        <n v="16"/>
        <n v="17"/>
        <n v="18"/>
        <n v="19"/>
        <n v="20"/>
        <n v="21"/>
        <n v="22"/>
        <n v="23"/>
        <n v="24"/>
        <n v="25"/>
        <n v="26"/>
        <n v="27"/>
        <n v="28"/>
        <n v="29"/>
        <n v="30"/>
        <n v="31"/>
        <n v="32"/>
        <n v="33"/>
        <n v="34"/>
        <n v="35"/>
        <n v="36"/>
        <n v="37"/>
        <n v="38"/>
        <n v="39"/>
        <n v="40"/>
        <n v="41"/>
        <n v="42"/>
        <n v="43"/>
        <n v="44"/>
        <n v="45"/>
        <n v="46"/>
        <n v="47"/>
        <n v="48"/>
        <n v="49"/>
        <n v="50"/>
        <n v="51"/>
        <n v="52"/>
        <n v="53"/>
        <n v="54"/>
        <n v="55"/>
        <n v="56"/>
        <n v="57"/>
        <n v="58"/>
        <n v="59"/>
        <n v="60"/>
        <n v="61"/>
        <n v="62"/>
        <n v="63"/>
        <n v="64"/>
        <n v="65"/>
        <n v="66"/>
        <n v="67"/>
        <n v="68"/>
        <n v="69"/>
        <n v="70"/>
        <n v="71"/>
        <n v="72"/>
        <n v="73"/>
        <n v="74"/>
        <n v="75"/>
        <n v="76"/>
        <n v="77"/>
        <n v="78"/>
        <n v="79"/>
        <n v="80"/>
        <n v="81"/>
        <n v="82"/>
        <n v="83"/>
        <n v="84"/>
        <n v="85"/>
        <n v="86"/>
        <n v="87"/>
        <n v="88"/>
        <n v="89"/>
        <n v="90"/>
        <n v="91"/>
        <n v="92"/>
        <n v="93"/>
        <n v="94"/>
        <n v="95"/>
        <n v="96"/>
        <n v="97"/>
        <n v="98"/>
        <n v="99"/>
        <n v="100"/>
        <n v="101"/>
      </sharedItems>
    </cacheField>
    <cacheField name="Last Name" numFmtId="0">
      <sharedItems containsBlank="1" count="10">
        <s v="Bauchman"/>
        <s v="Motroson"/>
        <s v="Davenport"/>
        <s v="Phillips"/>
        <s v="Smith"/>
        <s v="Miller"/>
        <s v="Collins"/>
        <m/>
        <s v="Whaley" u="1"/>
        <s v="John" u="1"/>
      </sharedItems>
    </cacheField>
    <cacheField name="First Name" numFmtId="0">
      <sharedItems containsBlank="1" count="10">
        <s v="Stan"/>
        <s v="Mickey"/>
        <s v="Donald"/>
        <s v="Bessie"/>
        <s v="Sandra"/>
        <s v="David"/>
        <s v="Carlton"/>
        <s v="d"/>
        <m/>
        <s v="Darrin" u="1"/>
      </sharedItems>
    </cacheField>
    <cacheField name="Address" numFmtId="0">
      <sharedItems containsBlank="1" count="12">
        <s v="100 Peachtree Street"/>
        <s v="777 Marathon Drive"/>
        <s v="96 Thompson Rd"/>
        <s v="822 Pleasant Place"/>
        <s v="104 Peachtree Street"/>
        <s v="333 Bay Bridge Street"/>
        <s v="d"/>
        <m/>
        <s v="200 West Street" u="1"/>
        <s v="500 West Street" u="1"/>
        <s v="300 West Street" u="1"/>
        <s v="100 West Ave" u="1"/>
      </sharedItems>
    </cacheField>
    <cacheField name="City" numFmtId="0">
      <sharedItems containsBlank="1" count="8">
        <s v="Atlanta"/>
        <s v="Duluth"/>
        <s v="Norcross"/>
        <m/>
        <s v="New" u="1"/>
        <s v="Evansville" u="1"/>
        <s v="Jasper" u="1"/>
        <s v="Dallas" u="1"/>
      </sharedItems>
    </cacheField>
    <cacheField name="State" numFmtId="0">
      <sharedItems containsBlank="1" count="7">
        <s v="GA"/>
        <s v="GA "/>
        <s v="d"/>
        <m/>
        <s v="Tx" u="1"/>
        <s v="IN" u="1"/>
        <s v="IV" u="1"/>
      </sharedItems>
    </cacheField>
    <cacheField name="Zip" numFmtId="0">
      <sharedItems containsBlank="1" containsMixedTypes="1" containsNumber="1" containsInteger="1" minValue="21435" maxValue="47546" count="12">
        <n v="30062"/>
        <n v="30063"/>
        <n v="30064"/>
        <n v="30065"/>
        <n v="30066"/>
        <n v="30092"/>
        <s v="d"/>
        <m/>
        <n v="21435" u="1"/>
        <n v="47546" u="1"/>
        <n v="25125" u="1"/>
        <n v="45102" u="1"/>
      </sharedItems>
    </cacheField>
    <cacheField name="Phone" numFmtId="0">
      <sharedItems containsBlank="1" count="12">
        <s v="770.842.5902"/>
        <s v="770.555.5903"/>
        <s v="770.555.5904"/>
        <s v="770.555.5905"/>
        <s v="770.555.5906"/>
        <s v="678.555.4332"/>
        <s v="d"/>
        <m/>
        <s v="562.325.2547" u="1"/>
        <s v="123.456.7890" u="1"/>
        <s v="215.235.2136" u="1"/>
        <s v="521.351.2232" u="1"/>
      </sharedItems>
    </cacheField>
    <cacheField name="Pension Plan" numFmtId="0">
      <sharedItems containsBlank="1" count="7">
        <s v="Plan A"/>
        <s v="Plan B"/>
        <s v="Plan C"/>
        <s v="d"/>
        <m/>
        <s v="Plan Z" u="1"/>
        <s v="Plan D" u="1"/>
      </sharedItems>
    </cacheField>
    <cacheField name="Balance" numFmtId="0">
      <sharedItems containsBlank="1" containsMixedTypes="1" containsNumber="1" minValue="5" maxValue="212254.23" count="15">
        <n v="157665"/>
        <n v="156340"/>
        <n v="81480"/>
        <n v="202578"/>
        <n v="177209"/>
        <n v="212254.23"/>
        <n v="124533.45"/>
        <s v="d"/>
        <m/>
        <n v="13.23" u="1"/>
        <n v="156.22999999999999" u="1"/>
        <n v="5" u="1"/>
        <n v="125362.25" u="1"/>
        <n v="126214.56" u="1"/>
        <n v="56.23" u="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01">
  <r>
    <x v="0"/>
    <x v="0"/>
    <x v="0"/>
    <x v="0"/>
    <x v="0"/>
    <x v="0"/>
    <x v="0"/>
    <x v="0"/>
    <x v="0"/>
    <x v="0"/>
  </r>
  <r>
    <x v="1"/>
    <x v="1"/>
    <x v="1"/>
    <x v="1"/>
    <x v="0"/>
    <x v="0"/>
    <x v="1"/>
    <x v="1"/>
    <x v="1"/>
    <x v="1"/>
  </r>
  <r>
    <x v="2"/>
    <x v="2"/>
    <x v="2"/>
    <x v="2"/>
    <x v="0"/>
    <x v="0"/>
    <x v="2"/>
    <x v="2"/>
    <x v="2"/>
    <x v="2"/>
  </r>
  <r>
    <x v="3"/>
    <x v="3"/>
    <x v="3"/>
    <x v="3"/>
    <x v="0"/>
    <x v="0"/>
    <x v="3"/>
    <x v="3"/>
    <x v="0"/>
    <x v="3"/>
  </r>
  <r>
    <x v="4"/>
    <x v="4"/>
    <x v="4"/>
    <x v="4"/>
    <x v="0"/>
    <x v="0"/>
    <x v="4"/>
    <x v="4"/>
    <x v="1"/>
    <x v="4"/>
  </r>
  <r>
    <x v="5"/>
    <x v="5"/>
    <x v="5"/>
    <x v="5"/>
    <x v="1"/>
    <x v="0"/>
    <x v="5"/>
    <x v="5"/>
    <x v="2"/>
    <x v="5"/>
  </r>
  <r>
    <x v="6"/>
    <x v="6"/>
    <x v="6"/>
    <x v="0"/>
    <x v="2"/>
    <x v="1"/>
    <x v="5"/>
    <x v="0"/>
    <x v="0"/>
    <x v="6"/>
  </r>
  <r>
    <x v="7"/>
    <x v="2"/>
    <x v="7"/>
    <x v="6"/>
    <x v="1"/>
    <x v="2"/>
    <x v="6"/>
    <x v="6"/>
    <x v="3"/>
    <x v="7"/>
  </r>
  <r>
    <x v="8"/>
    <x v="7"/>
    <x v="8"/>
    <x v="7"/>
    <x v="3"/>
    <x v="3"/>
    <x v="7"/>
    <x v="7"/>
    <x v="4"/>
    <x v="8"/>
  </r>
  <r>
    <x v="9"/>
    <x v="7"/>
    <x v="8"/>
    <x v="7"/>
    <x v="3"/>
    <x v="3"/>
    <x v="7"/>
    <x v="7"/>
    <x v="4"/>
    <x v="8"/>
  </r>
  <r>
    <x v="10"/>
    <x v="7"/>
    <x v="8"/>
    <x v="7"/>
    <x v="3"/>
    <x v="3"/>
    <x v="7"/>
    <x v="7"/>
    <x v="4"/>
    <x v="8"/>
  </r>
  <r>
    <x v="11"/>
    <x v="7"/>
    <x v="8"/>
    <x v="7"/>
    <x v="3"/>
    <x v="3"/>
    <x v="7"/>
    <x v="7"/>
    <x v="4"/>
    <x v="8"/>
  </r>
  <r>
    <x v="12"/>
    <x v="7"/>
    <x v="8"/>
    <x v="7"/>
    <x v="3"/>
    <x v="3"/>
    <x v="7"/>
    <x v="7"/>
    <x v="4"/>
    <x v="8"/>
  </r>
  <r>
    <x v="13"/>
    <x v="7"/>
    <x v="8"/>
    <x v="7"/>
    <x v="3"/>
    <x v="3"/>
    <x v="7"/>
    <x v="7"/>
    <x v="4"/>
    <x v="8"/>
  </r>
  <r>
    <x v="14"/>
    <x v="7"/>
    <x v="8"/>
    <x v="7"/>
    <x v="3"/>
    <x v="3"/>
    <x v="7"/>
    <x v="7"/>
    <x v="4"/>
    <x v="8"/>
  </r>
  <r>
    <x v="15"/>
    <x v="7"/>
    <x v="8"/>
    <x v="7"/>
    <x v="3"/>
    <x v="3"/>
    <x v="7"/>
    <x v="7"/>
    <x v="4"/>
    <x v="8"/>
  </r>
  <r>
    <x v="16"/>
    <x v="7"/>
    <x v="8"/>
    <x v="7"/>
    <x v="3"/>
    <x v="3"/>
    <x v="7"/>
    <x v="7"/>
    <x v="4"/>
    <x v="8"/>
  </r>
  <r>
    <x v="17"/>
    <x v="7"/>
    <x v="8"/>
    <x v="7"/>
    <x v="3"/>
    <x v="3"/>
    <x v="7"/>
    <x v="7"/>
    <x v="4"/>
    <x v="8"/>
  </r>
  <r>
    <x v="18"/>
    <x v="7"/>
    <x v="8"/>
    <x v="7"/>
    <x v="3"/>
    <x v="3"/>
    <x v="7"/>
    <x v="7"/>
    <x v="4"/>
    <x v="8"/>
  </r>
  <r>
    <x v="19"/>
    <x v="7"/>
    <x v="8"/>
    <x v="7"/>
    <x v="3"/>
    <x v="3"/>
    <x v="7"/>
    <x v="7"/>
    <x v="4"/>
    <x v="8"/>
  </r>
  <r>
    <x v="20"/>
    <x v="7"/>
    <x v="8"/>
    <x v="7"/>
    <x v="3"/>
    <x v="3"/>
    <x v="7"/>
    <x v="7"/>
    <x v="4"/>
    <x v="8"/>
  </r>
  <r>
    <x v="21"/>
    <x v="7"/>
    <x v="8"/>
    <x v="7"/>
    <x v="3"/>
    <x v="3"/>
    <x v="7"/>
    <x v="7"/>
    <x v="4"/>
    <x v="8"/>
  </r>
  <r>
    <x v="22"/>
    <x v="7"/>
    <x v="8"/>
    <x v="7"/>
    <x v="3"/>
    <x v="3"/>
    <x v="7"/>
    <x v="7"/>
    <x v="4"/>
    <x v="8"/>
  </r>
  <r>
    <x v="23"/>
    <x v="7"/>
    <x v="8"/>
    <x v="7"/>
    <x v="3"/>
    <x v="3"/>
    <x v="7"/>
    <x v="7"/>
    <x v="4"/>
    <x v="8"/>
  </r>
  <r>
    <x v="24"/>
    <x v="7"/>
    <x v="8"/>
    <x v="7"/>
    <x v="3"/>
    <x v="3"/>
    <x v="7"/>
    <x v="7"/>
    <x v="4"/>
    <x v="8"/>
  </r>
  <r>
    <x v="25"/>
    <x v="7"/>
    <x v="8"/>
    <x v="7"/>
    <x v="3"/>
    <x v="3"/>
    <x v="7"/>
    <x v="7"/>
    <x v="4"/>
    <x v="8"/>
  </r>
  <r>
    <x v="26"/>
    <x v="7"/>
    <x v="8"/>
    <x v="7"/>
    <x v="3"/>
    <x v="3"/>
    <x v="7"/>
    <x v="7"/>
    <x v="4"/>
    <x v="8"/>
  </r>
  <r>
    <x v="27"/>
    <x v="7"/>
    <x v="8"/>
    <x v="7"/>
    <x v="3"/>
    <x v="3"/>
    <x v="7"/>
    <x v="7"/>
    <x v="4"/>
    <x v="8"/>
  </r>
  <r>
    <x v="28"/>
    <x v="7"/>
    <x v="8"/>
    <x v="7"/>
    <x v="3"/>
    <x v="3"/>
    <x v="7"/>
    <x v="7"/>
    <x v="4"/>
    <x v="8"/>
  </r>
  <r>
    <x v="29"/>
    <x v="7"/>
    <x v="8"/>
    <x v="7"/>
    <x v="3"/>
    <x v="3"/>
    <x v="7"/>
    <x v="7"/>
    <x v="4"/>
    <x v="8"/>
  </r>
  <r>
    <x v="30"/>
    <x v="7"/>
    <x v="8"/>
    <x v="7"/>
    <x v="3"/>
    <x v="3"/>
    <x v="7"/>
    <x v="7"/>
    <x v="4"/>
    <x v="8"/>
  </r>
  <r>
    <x v="31"/>
    <x v="7"/>
    <x v="8"/>
    <x v="7"/>
    <x v="3"/>
    <x v="3"/>
    <x v="7"/>
    <x v="7"/>
    <x v="4"/>
    <x v="8"/>
  </r>
  <r>
    <x v="32"/>
    <x v="7"/>
    <x v="8"/>
    <x v="7"/>
    <x v="3"/>
    <x v="3"/>
    <x v="7"/>
    <x v="7"/>
    <x v="4"/>
    <x v="8"/>
  </r>
  <r>
    <x v="33"/>
    <x v="7"/>
    <x v="8"/>
    <x v="7"/>
    <x v="3"/>
    <x v="3"/>
    <x v="7"/>
    <x v="7"/>
    <x v="4"/>
    <x v="8"/>
  </r>
  <r>
    <x v="34"/>
    <x v="7"/>
    <x v="8"/>
    <x v="7"/>
    <x v="3"/>
    <x v="3"/>
    <x v="7"/>
    <x v="7"/>
    <x v="4"/>
    <x v="8"/>
  </r>
  <r>
    <x v="35"/>
    <x v="7"/>
    <x v="8"/>
    <x v="7"/>
    <x v="3"/>
    <x v="3"/>
    <x v="7"/>
    <x v="7"/>
    <x v="4"/>
    <x v="8"/>
  </r>
  <r>
    <x v="36"/>
    <x v="7"/>
    <x v="8"/>
    <x v="7"/>
    <x v="3"/>
    <x v="3"/>
    <x v="7"/>
    <x v="7"/>
    <x v="4"/>
    <x v="8"/>
  </r>
  <r>
    <x v="37"/>
    <x v="7"/>
    <x v="8"/>
    <x v="7"/>
    <x v="3"/>
    <x v="3"/>
    <x v="7"/>
    <x v="7"/>
    <x v="4"/>
    <x v="8"/>
  </r>
  <r>
    <x v="38"/>
    <x v="7"/>
    <x v="8"/>
    <x v="7"/>
    <x v="3"/>
    <x v="3"/>
    <x v="7"/>
    <x v="7"/>
    <x v="4"/>
    <x v="8"/>
  </r>
  <r>
    <x v="39"/>
    <x v="7"/>
    <x v="8"/>
    <x v="7"/>
    <x v="3"/>
    <x v="3"/>
    <x v="7"/>
    <x v="7"/>
    <x v="4"/>
    <x v="8"/>
  </r>
  <r>
    <x v="40"/>
    <x v="7"/>
    <x v="8"/>
    <x v="7"/>
    <x v="3"/>
    <x v="3"/>
    <x v="7"/>
    <x v="7"/>
    <x v="4"/>
    <x v="8"/>
  </r>
  <r>
    <x v="41"/>
    <x v="7"/>
    <x v="8"/>
    <x v="7"/>
    <x v="3"/>
    <x v="3"/>
    <x v="7"/>
    <x v="7"/>
    <x v="4"/>
    <x v="8"/>
  </r>
  <r>
    <x v="42"/>
    <x v="7"/>
    <x v="8"/>
    <x v="7"/>
    <x v="3"/>
    <x v="3"/>
    <x v="7"/>
    <x v="7"/>
    <x v="4"/>
    <x v="8"/>
  </r>
  <r>
    <x v="43"/>
    <x v="7"/>
    <x v="8"/>
    <x v="7"/>
    <x v="3"/>
    <x v="3"/>
    <x v="7"/>
    <x v="7"/>
    <x v="4"/>
    <x v="8"/>
  </r>
  <r>
    <x v="44"/>
    <x v="7"/>
    <x v="8"/>
    <x v="7"/>
    <x v="3"/>
    <x v="3"/>
    <x v="7"/>
    <x v="7"/>
    <x v="4"/>
    <x v="8"/>
  </r>
  <r>
    <x v="45"/>
    <x v="7"/>
    <x v="8"/>
    <x v="7"/>
    <x v="3"/>
    <x v="3"/>
    <x v="7"/>
    <x v="7"/>
    <x v="4"/>
    <x v="8"/>
  </r>
  <r>
    <x v="46"/>
    <x v="7"/>
    <x v="8"/>
    <x v="7"/>
    <x v="3"/>
    <x v="3"/>
    <x v="7"/>
    <x v="7"/>
    <x v="4"/>
    <x v="8"/>
  </r>
  <r>
    <x v="47"/>
    <x v="7"/>
    <x v="8"/>
    <x v="7"/>
    <x v="3"/>
    <x v="3"/>
    <x v="7"/>
    <x v="7"/>
    <x v="4"/>
    <x v="8"/>
  </r>
  <r>
    <x v="48"/>
    <x v="7"/>
    <x v="8"/>
    <x v="7"/>
    <x v="3"/>
    <x v="3"/>
    <x v="7"/>
    <x v="7"/>
    <x v="4"/>
    <x v="8"/>
  </r>
  <r>
    <x v="49"/>
    <x v="7"/>
    <x v="8"/>
    <x v="7"/>
    <x v="3"/>
    <x v="3"/>
    <x v="7"/>
    <x v="7"/>
    <x v="4"/>
    <x v="8"/>
  </r>
  <r>
    <x v="50"/>
    <x v="7"/>
    <x v="8"/>
    <x v="7"/>
    <x v="3"/>
    <x v="3"/>
    <x v="7"/>
    <x v="7"/>
    <x v="4"/>
    <x v="8"/>
  </r>
  <r>
    <x v="51"/>
    <x v="7"/>
    <x v="8"/>
    <x v="7"/>
    <x v="3"/>
    <x v="3"/>
    <x v="7"/>
    <x v="7"/>
    <x v="4"/>
    <x v="8"/>
  </r>
  <r>
    <x v="52"/>
    <x v="7"/>
    <x v="8"/>
    <x v="7"/>
    <x v="3"/>
    <x v="3"/>
    <x v="7"/>
    <x v="7"/>
    <x v="4"/>
    <x v="8"/>
  </r>
  <r>
    <x v="53"/>
    <x v="7"/>
    <x v="8"/>
    <x v="7"/>
    <x v="3"/>
    <x v="3"/>
    <x v="7"/>
    <x v="7"/>
    <x v="4"/>
    <x v="8"/>
  </r>
  <r>
    <x v="54"/>
    <x v="7"/>
    <x v="8"/>
    <x v="7"/>
    <x v="3"/>
    <x v="3"/>
    <x v="7"/>
    <x v="7"/>
    <x v="4"/>
    <x v="8"/>
  </r>
  <r>
    <x v="55"/>
    <x v="7"/>
    <x v="8"/>
    <x v="7"/>
    <x v="3"/>
    <x v="3"/>
    <x v="7"/>
    <x v="7"/>
    <x v="4"/>
    <x v="8"/>
  </r>
  <r>
    <x v="56"/>
    <x v="7"/>
    <x v="8"/>
    <x v="7"/>
    <x v="3"/>
    <x v="3"/>
    <x v="7"/>
    <x v="7"/>
    <x v="4"/>
    <x v="8"/>
  </r>
  <r>
    <x v="57"/>
    <x v="7"/>
    <x v="8"/>
    <x v="7"/>
    <x v="3"/>
    <x v="3"/>
    <x v="7"/>
    <x v="7"/>
    <x v="4"/>
    <x v="8"/>
  </r>
  <r>
    <x v="58"/>
    <x v="7"/>
    <x v="8"/>
    <x v="7"/>
    <x v="3"/>
    <x v="3"/>
    <x v="7"/>
    <x v="7"/>
    <x v="4"/>
    <x v="8"/>
  </r>
  <r>
    <x v="59"/>
    <x v="7"/>
    <x v="8"/>
    <x v="7"/>
    <x v="3"/>
    <x v="3"/>
    <x v="7"/>
    <x v="7"/>
    <x v="4"/>
    <x v="8"/>
  </r>
  <r>
    <x v="60"/>
    <x v="7"/>
    <x v="8"/>
    <x v="7"/>
    <x v="3"/>
    <x v="3"/>
    <x v="7"/>
    <x v="7"/>
    <x v="4"/>
    <x v="8"/>
  </r>
  <r>
    <x v="61"/>
    <x v="7"/>
    <x v="8"/>
    <x v="7"/>
    <x v="3"/>
    <x v="3"/>
    <x v="7"/>
    <x v="7"/>
    <x v="4"/>
    <x v="8"/>
  </r>
  <r>
    <x v="62"/>
    <x v="7"/>
    <x v="8"/>
    <x v="7"/>
    <x v="3"/>
    <x v="3"/>
    <x v="7"/>
    <x v="7"/>
    <x v="4"/>
    <x v="8"/>
  </r>
  <r>
    <x v="63"/>
    <x v="7"/>
    <x v="8"/>
    <x v="7"/>
    <x v="3"/>
    <x v="3"/>
    <x v="7"/>
    <x v="7"/>
    <x v="4"/>
    <x v="8"/>
  </r>
  <r>
    <x v="64"/>
    <x v="7"/>
    <x v="8"/>
    <x v="7"/>
    <x v="3"/>
    <x v="3"/>
    <x v="7"/>
    <x v="7"/>
    <x v="4"/>
    <x v="8"/>
  </r>
  <r>
    <x v="65"/>
    <x v="7"/>
    <x v="8"/>
    <x v="7"/>
    <x v="3"/>
    <x v="3"/>
    <x v="7"/>
    <x v="7"/>
    <x v="4"/>
    <x v="8"/>
  </r>
  <r>
    <x v="66"/>
    <x v="7"/>
    <x v="8"/>
    <x v="7"/>
    <x v="3"/>
    <x v="3"/>
    <x v="7"/>
    <x v="7"/>
    <x v="4"/>
    <x v="8"/>
  </r>
  <r>
    <x v="67"/>
    <x v="7"/>
    <x v="8"/>
    <x v="7"/>
    <x v="3"/>
    <x v="3"/>
    <x v="7"/>
    <x v="7"/>
    <x v="4"/>
    <x v="8"/>
  </r>
  <r>
    <x v="68"/>
    <x v="7"/>
    <x v="8"/>
    <x v="7"/>
    <x v="3"/>
    <x v="3"/>
    <x v="7"/>
    <x v="7"/>
    <x v="4"/>
    <x v="8"/>
  </r>
  <r>
    <x v="69"/>
    <x v="7"/>
    <x v="8"/>
    <x v="7"/>
    <x v="3"/>
    <x v="3"/>
    <x v="7"/>
    <x v="7"/>
    <x v="4"/>
    <x v="8"/>
  </r>
  <r>
    <x v="70"/>
    <x v="7"/>
    <x v="8"/>
    <x v="7"/>
    <x v="3"/>
    <x v="3"/>
    <x v="7"/>
    <x v="7"/>
    <x v="4"/>
    <x v="8"/>
  </r>
  <r>
    <x v="71"/>
    <x v="7"/>
    <x v="8"/>
    <x v="7"/>
    <x v="3"/>
    <x v="3"/>
    <x v="7"/>
    <x v="7"/>
    <x v="4"/>
    <x v="8"/>
  </r>
  <r>
    <x v="72"/>
    <x v="7"/>
    <x v="8"/>
    <x v="7"/>
    <x v="3"/>
    <x v="3"/>
    <x v="7"/>
    <x v="7"/>
    <x v="4"/>
    <x v="8"/>
  </r>
  <r>
    <x v="73"/>
    <x v="7"/>
    <x v="8"/>
    <x v="7"/>
    <x v="3"/>
    <x v="3"/>
    <x v="7"/>
    <x v="7"/>
    <x v="4"/>
    <x v="8"/>
  </r>
  <r>
    <x v="74"/>
    <x v="7"/>
    <x v="8"/>
    <x v="7"/>
    <x v="3"/>
    <x v="3"/>
    <x v="7"/>
    <x v="7"/>
    <x v="4"/>
    <x v="8"/>
  </r>
  <r>
    <x v="75"/>
    <x v="7"/>
    <x v="8"/>
    <x v="7"/>
    <x v="3"/>
    <x v="3"/>
    <x v="7"/>
    <x v="7"/>
    <x v="4"/>
    <x v="8"/>
  </r>
  <r>
    <x v="76"/>
    <x v="7"/>
    <x v="8"/>
    <x v="7"/>
    <x v="3"/>
    <x v="3"/>
    <x v="7"/>
    <x v="7"/>
    <x v="4"/>
    <x v="8"/>
  </r>
  <r>
    <x v="77"/>
    <x v="7"/>
    <x v="8"/>
    <x v="7"/>
    <x v="3"/>
    <x v="3"/>
    <x v="7"/>
    <x v="7"/>
    <x v="4"/>
    <x v="8"/>
  </r>
  <r>
    <x v="78"/>
    <x v="7"/>
    <x v="8"/>
    <x v="7"/>
    <x v="3"/>
    <x v="3"/>
    <x v="7"/>
    <x v="7"/>
    <x v="4"/>
    <x v="8"/>
  </r>
  <r>
    <x v="79"/>
    <x v="7"/>
    <x v="8"/>
    <x v="7"/>
    <x v="3"/>
    <x v="3"/>
    <x v="7"/>
    <x v="7"/>
    <x v="4"/>
    <x v="8"/>
  </r>
  <r>
    <x v="80"/>
    <x v="7"/>
    <x v="8"/>
    <x v="7"/>
    <x v="3"/>
    <x v="3"/>
    <x v="7"/>
    <x v="7"/>
    <x v="4"/>
    <x v="8"/>
  </r>
  <r>
    <x v="81"/>
    <x v="7"/>
    <x v="8"/>
    <x v="7"/>
    <x v="3"/>
    <x v="3"/>
    <x v="7"/>
    <x v="7"/>
    <x v="4"/>
    <x v="8"/>
  </r>
  <r>
    <x v="82"/>
    <x v="7"/>
    <x v="8"/>
    <x v="7"/>
    <x v="3"/>
    <x v="3"/>
    <x v="7"/>
    <x v="7"/>
    <x v="4"/>
    <x v="8"/>
  </r>
  <r>
    <x v="83"/>
    <x v="7"/>
    <x v="8"/>
    <x v="7"/>
    <x v="3"/>
    <x v="3"/>
    <x v="7"/>
    <x v="7"/>
    <x v="4"/>
    <x v="8"/>
  </r>
  <r>
    <x v="84"/>
    <x v="7"/>
    <x v="8"/>
    <x v="7"/>
    <x v="3"/>
    <x v="3"/>
    <x v="7"/>
    <x v="7"/>
    <x v="4"/>
    <x v="8"/>
  </r>
  <r>
    <x v="85"/>
    <x v="7"/>
    <x v="8"/>
    <x v="7"/>
    <x v="3"/>
    <x v="3"/>
    <x v="7"/>
    <x v="7"/>
    <x v="4"/>
    <x v="8"/>
  </r>
  <r>
    <x v="86"/>
    <x v="7"/>
    <x v="8"/>
    <x v="7"/>
    <x v="3"/>
    <x v="3"/>
    <x v="7"/>
    <x v="7"/>
    <x v="4"/>
    <x v="8"/>
  </r>
  <r>
    <x v="87"/>
    <x v="7"/>
    <x v="8"/>
    <x v="7"/>
    <x v="3"/>
    <x v="3"/>
    <x v="7"/>
    <x v="7"/>
    <x v="4"/>
    <x v="8"/>
  </r>
  <r>
    <x v="88"/>
    <x v="7"/>
    <x v="8"/>
    <x v="7"/>
    <x v="3"/>
    <x v="3"/>
    <x v="7"/>
    <x v="7"/>
    <x v="4"/>
    <x v="8"/>
  </r>
  <r>
    <x v="89"/>
    <x v="7"/>
    <x v="8"/>
    <x v="7"/>
    <x v="3"/>
    <x v="3"/>
    <x v="7"/>
    <x v="7"/>
    <x v="4"/>
    <x v="8"/>
  </r>
  <r>
    <x v="90"/>
    <x v="7"/>
    <x v="8"/>
    <x v="7"/>
    <x v="3"/>
    <x v="3"/>
    <x v="7"/>
    <x v="7"/>
    <x v="4"/>
    <x v="8"/>
  </r>
  <r>
    <x v="91"/>
    <x v="7"/>
    <x v="8"/>
    <x v="7"/>
    <x v="3"/>
    <x v="3"/>
    <x v="7"/>
    <x v="7"/>
    <x v="4"/>
    <x v="8"/>
  </r>
  <r>
    <x v="92"/>
    <x v="7"/>
    <x v="8"/>
    <x v="7"/>
    <x v="3"/>
    <x v="3"/>
    <x v="7"/>
    <x v="7"/>
    <x v="4"/>
    <x v="8"/>
  </r>
  <r>
    <x v="93"/>
    <x v="7"/>
    <x v="8"/>
    <x v="7"/>
    <x v="3"/>
    <x v="3"/>
    <x v="7"/>
    <x v="7"/>
    <x v="4"/>
    <x v="8"/>
  </r>
  <r>
    <x v="94"/>
    <x v="7"/>
    <x v="8"/>
    <x v="7"/>
    <x v="3"/>
    <x v="3"/>
    <x v="7"/>
    <x v="7"/>
    <x v="4"/>
    <x v="8"/>
  </r>
  <r>
    <x v="95"/>
    <x v="7"/>
    <x v="8"/>
    <x v="7"/>
    <x v="3"/>
    <x v="3"/>
    <x v="7"/>
    <x v="7"/>
    <x v="4"/>
    <x v="8"/>
  </r>
  <r>
    <x v="96"/>
    <x v="7"/>
    <x v="8"/>
    <x v="7"/>
    <x v="3"/>
    <x v="3"/>
    <x v="7"/>
    <x v="7"/>
    <x v="4"/>
    <x v="8"/>
  </r>
  <r>
    <x v="97"/>
    <x v="7"/>
    <x v="8"/>
    <x v="7"/>
    <x v="3"/>
    <x v="3"/>
    <x v="7"/>
    <x v="7"/>
    <x v="4"/>
    <x v="8"/>
  </r>
  <r>
    <x v="98"/>
    <x v="7"/>
    <x v="8"/>
    <x v="7"/>
    <x v="3"/>
    <x v="3"/>
    <x v="7"/>
    <x v="7"/>
    <x v="4"/>
    <x v="8"/>
  </r>
  <r>
    <x v="99"/>
    <x v="7"/>
    <x v="8"/>
    <x v="7"/>
    <x v="3"/>
    <x v="3"/>
    <x v="7"/>
    <x v="7"/>
    <x v="4"/>
    <x v="8"/>
  </r>
  <r>
    <x v="100"/>
    <x v="7"/>
    <x v="8"/>
    <x v="7"/>
    <x v="3"/>
    <x v="3"/>
    <x v="7"/>
    <x v="7"/>
    <x v="4"/>
    <x v="8"/>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1" cacheId="4" applyNumberFormats="0" applyBorderFormats="0" applyFontFormats="0" applyPatternFormats="0" applyAlignmentFormats="0" applyWidthHeightFormats="1" dataCaption="Values" updatedVersion="5" minRefreshableVersion="3" useAutoFormatting="1" itemPrintTitles="1" createdVersion="4" indent="0" outline="1" outlineData="1" multipleFieldFilters="0">
  <location ref="A32:K41" firstHeaderRow="1" firstDataRow="1" firstDataCol="10"/>
  <pivotFields count="10">
    <pivotField axis="axisRow" outline="0" showAll="0" sortType="descending" defaultSubtotal="0">
      <items count="101">
        <item x="100"/>
        <item x="99"/>
        <item x="98"/>
        <item x="97"/>
        <item x="96"/>
        <item x="95"/>
        <item x="94"/>
        <item x="93"/>
        <item x="92"/>
        <item x="91"/>
        <item x="90"/>
        <item x="89"/>
        <item x="88"/>
        <item x="87"/>
        <item x="86"/>
        <item x="85"/>
        <item x="84"/>
        <item x="83"/>
        <item x="82"/>
        <item x="81"/>
        <item x="80"/>
        <item x="79"/>
        <item x="78"/>
        <item x="77"/>
        <item x="76"/>
        <item x="75"/>
        <item x="74"/>
        <item x="73"/>
        <item x="72"/>
        <item x="71"/>
        <item x="70"/>
        <item x="69"/>
        <item x="68"/>
        <item x="67"/>
        <item x="66"/>
        <item x="65"/>
        <item x="64"/>
        <item x="63"/>
        <item x="62"/>
        <item x="61"/>
        <item x="60"/>
        <item x="59"/>
        <item x="58"/>
        <item x="57"/>
        <item x="56"/>
        <item x="55"/>
        <item x="54"/>
        <item x="53"/>
        <item x="52"/>
        <item x="51"/>
        <item x="50"/>
        <item x="49"/>
        <item x="48"/>
        <item x="47"/>
        <item x="46"/>
        <item x="45"/>
        <item x="44"/>
        <item x="43"/>
        <item x="42"/>
        <item x="41"/>
        <item x="40"/>
        <item x="39"/>
        <item x="38"/>
        <item x="37"/>
        <item x="36"/>
        <item x="35"/>
        <item x="34"/>
        <item x="33"/>
        <item x="32"/>
        <item x="31"/>
        <item x="30"/>
        <item x="29"/>
        <item x="28"/>
        <item x="27"/>
        <item x="26"/>
        <item x="25"/>
        <item x="24"/>
        <item x="23"/>
        <item x="22"/>
        <item x="21"/>
        <item x="20"/>
        <item x="19"/>
        <item x="18"/>
        <item x="17"/>
        <item x="16"/>
        <item x="15"/>
        <item x="14"/>
        <item x="13"/>
        <item x="12"/>
        <item x="11"/>
        <item x="10"/>
        <item x="9"/>
        <item x="8"/>
        <item x="7"/>
        <item x="6"/>
        <item x="5"/>
        <item x="4"/>
        <item x="3"/>
        <item x="2"/>
        <item x="1"/>
        <item x="0"/>
      </items>
    </pivotField>
    <pivotField axis="axisRow" outline="0" showAll="0" measureFilter="1" sortType="descending" defaultSubtotal="0">
      <items count="10">
        <item x="7"/>
        <item m="1" x="8"/>
        <item x="4"/>
        <item x="3"/>
        <item x="1"/>
        <item x="5"/>
        <item m="1" x="9"/>
        <item x="2"/>
        <item x="6"/>
        <item x="0"/>
      </items>
    </pivotField>
    <pivotField axis="axisRow" outline="0" showAll="0" defaultSubtotal="0">
      <items count="10">
        <item x="3"/>
        <item x="6"/>
        <item x="5"/>
        <item x="2"/>
        <item x="1"/>
        <item x="4"/>
        <item x="0"/>
        <item x="8"/>
        <item m="1" x="9"/>
        <item x="7"/>
      </items>
    </pivotField>
    <pivotField axis="axisRow" outline="0" showAll="0" defaultSubtotal="0">
      <items count="12">
        <item x="0"/>
        <item x="4"/>
        <item x="5"/>
        <item x="1"/>
        <item x="3"/>
        <item x="2"/>
        <item x="7"/>
        <item m="1" x="10"/>
        <item m="1" x="11"/>
        <item m="1" x="9"/>
        <item m="1" x="8"/>
        <item x="6"/>
      </items>
    </pivotField>
    <pivotField axis="axisRow" outline="0" showAll="0" defaultSubtotal="0">
      <items count="8">
        <item x="0"/>
        <item x="1"/>
        <item x="2"/>
        <item x="3"/>
        <item m="1" x="5"/>
        <item m="1" x="7"/>
        <item m="1" x="4"/>
        <item m="1" x="6"/>
      </items>
    </pivotField>
    <pivotField axis="axisRow" outline="0" showAll="0" defaultSubtotal="0">
      <items count="7">
        <item x="0"/>
        <item x="1"/>
        <item x="3"/>
        <item m="1" x="5"/>
        <item m="1" x="4"/>
        <item m="1" x="6"/>
        <item x="2"/>
      </items>
    </pivotField>
    <pivotField axis="axisRow" outline="0" showAll="0" defaultSubtotal="0">
      <items count="12">
        <item x="0"/>
        <item x="1"/>
        <item x="2"/>
        <item x="3"/>
        <item x="4"/>
        <item x="5"/>
        <item x="7"/>
        <item m="1" x="9"/>
        <item m="1" x="11"/>
        <item m="1" x="10"/>
        <item m="1" x="8"/>
        <item x="6"/>
      </items>
    </pivotField>
    <pivotField axis="axisRow" outline="0" showAll="0" defaultSubtotal="0">
      <items count="12">
        <item x="5"/>
        <item x="1"/>
        <item x="2"/>
        <item x="3"/>
        <item x="4"/>
        <item x="0"/>
        <item x="7"/>
        <item m="1" x="9"/>
        <item m="1" x="8"/>
        <item m="1" x="10"/>
        <item m="1" x="11"/>
        <item x="6"/>
      </items>
    </pivotField>
    <pivotField axis="axisRow" outline="0" showAll="0" defaultSubtotal="0">
      <items count="7">
        <item x="0"/>
        <item x="1"/>
        <item x="2"/>
        <item x="4"/>
        <item m="1" x="6"/>
        <item m="1" x="5"/>
        <item x="3"/>
      </items>
    </pivotField>
    <pivotField axis="axisRow" dataField="1" showAll="0">
      <items count="16">
        <item x="2"/>
        <item x="6"/>
        <item x="1"/>
        <item x="0"/>
        <item x="4"/>
        <item x="3"/>
        <item x="5"/>
        <item x="8"/>
        <item m="1" x="14"/>
        <item m="1" x="9"/>
        <item m="1" x="11"/>
        <item m="1" x="12"/>
        <item m="1" x="10"/>
        <item m="1" x="13"/>
        <item x="7"/>
        <item t="default"/>
      </items>
    </pivotField>
  </pivotFields>
  <rowFields count="10">
    <field x="0"/>
    <field x="1"/>
    <field x="2"/>
    <field x="3"/>
    <field x="4"/>
    <field x="5"/>
    <field x="6"/>
    <field x="7"/>
    <field x="8"/>
    <field x="9"/>
  </rowFields>
  <rowItems count="9">
    <i>
      <x v="93"/>
      <x v="7"/>
      <x v="9"/>
      <x v="11"/>
      <x v="1"/>
      <x v="6"/>
      <x v="11"/>
      <x v="11"/>
      <x v="6"/>
      <x v="14"/>
    </i>
    <i>
      <x v="94"/>
      <x v="8"/>
      <x v="1"/>
      <x/>
      <x v="2"/>
      <x v="1"/>
      <x v="5"/>
      <x v="5"/>
      <x/>
      <x v="1"/>
    </i>
    <i>
      <x v="95"/>
      <x v="5"/>
      <x v="2"/>
      <x v="2"/>
      <x v="1"/>
      <x/>
      <x v="5"/>
      <x/>
      <x v="2"/>
      <x v="6"/>
    </i>
    <i>
      <x v="96"/>
      <x v="2"/>
      <x v="5"/>
      <x v="1"/>
      <x/>
      <x/>
      <x v="4"/>
      <x v="4"/>
      <x v="1"/>
      <x v="4"/>
    </i>
    <i>
      <x v="97"/>
      <x v="3"/>
      <x/>
      <x v="4"/>
      <x/>
      <x/>
      <x v="3"/>
      <x v="3"/>
      <x/>
      <x v="5"/>
    </i>
    <i>
      <x v="98"/>
      <x v="7"/>
      <x v="3"/>
      <x v="5"/>
      <x/>
      <x/>
      <x v="2"/>
      <x v="2"/>
      <x v="2"/>
      <x/>
    </i>
    <i>
      <x v="99"/>
      <x v="4"/>
      <x v="4"/>
      <x v="3"/>
      <x/>
      <x/>
      <x v="1"/>
      <x v="1"/>
      <x v="1"/>
      <x v="2"/>
    </i>
    <i>
      <x v="100"/>
      <x v="9"/>
      <x v="6"/>
      <x/>
      <x/>
      <x/>
      <x/>
      <x v="5"/>
      <x/>
      <x v="3"/>
    </i>
    <i t="grand">
      <x/>
    </i>
  </rowItems>
  <colItems count="1">
    <i/>
  </colItems>
  <dataFields count="1">
    <dataField name="Count of Balance" fld="9" subtotal="count" baseField="9" baseItem="1"/>
  </dataFields>
  <pivotTableStyleInfo name="PivotStyleLight16" showRowHeaders="1" showColHeaders="1" showRowStripes="0" showColStripes="0" showLastColumn="1"/>
  <filters count="1">
    <filter fld="1" type="valueEqual" evalOrder="-1" id="1" iMeasureFld="0">
      <autoFilter ref="A1">
        <filterColumn colId="0">
          <customFilters>
            <customFilter val="1"/>
          </customFilters>
        </filterColumn>
      </autoFilter>
    </filter>
  </filters>
  <extLst>
    <ext xmlns:x14="http://schemas.microsoft.com/office/spreadsheetml/2009/9/main" uri="{962EF5D1-5CA2-4c93-8EF4-DBF5C05439D2}">
      <x14:pivotTableDefinition xmlns:xm="http://schemas.microsoft.com/office/excel/2006/main" hideValuesRow="1"/>
    </ext>
  </extLst>
</pivotTableDefinition>
</file>

<file path=xl/tables/table1.xml><?xml version="1.0" encoding="utf-8"?>
<table xmlns="http://schemas.openxmlformats.org/spreadsheetml/2006/main" id="1" name="Table1" displayName="Table1" ref="A3:J11" headerRowDxfId="52" dataDxfId="50" headerRowBorderDxfId="51" tableBorderDxfId="49">
  <autoFilter ref="A3:J11"/>
  <tableColumns count="10">
    <tableColumn id="1" name="Number" totalsRowLabel="Total" dataDxfId="48" totalsRowDxfId="47">
      <calculatedColumnFormula>ROW(B4)-3</calculatedColumnFormula>
    </tableColumn>
    <tableColumn id="2" name="Last Name" totalsRowFunction="count" dataDxfId="46" totalsRowDxfId="45"/>
    <tableColumn id="3" name="First Name" dataDxfId="44" totalsRowDxfId="43"/>
    <tableColumn id="4" name="Address" dataDxfId="42" totalsRowDxfId="41"/>
    <tableColumn id="5" name="City" dataDxfId="40" totalsRowDxfId="39"/>
    <tableColumn id="6" name="State" dataDxfId="38" totalsRowDxfId="37"/>
    <tableColumn id="7" name="Zip" dataDxfId="36" totalsRowDxfId="35"/>
    <tableColumn id="8" name="Phone" dataDxfId="34" totalsRowDxfId="33"/>
    <tableColumn id="9" name="Pension Plan" dataDxfId="32" totalsRowDxfId="31"/>
    <tableColumn id="10" name="Balance" totalsRowFunction="sum" dataDxfId="30" totalsRowDxfId="29" dataCellStyle="Currency"/>
  </tableColumns>
  <tableStyleInfo name="TableStyleMedium3" showFirstColumn="0" showLastColumn="0" showRowStripes="1" showColumnStripes="0"/>
</table>
</file>

<file path=xl/tables/table2.xml><?xml version="1.0" encoding="utf-8"?>
<table xmlns="http://schemas.openxmlformats.org/spreadsheetml/2006/main" id="2" name="Table13" displayName="Table13" ref="A3:J10" totalsRowShown="0" headerRowDxfId="28" dataDxfId="26" headerRowBorderDxfId="27" tableBorderDxfId="25">
  <autoFilter ref="A3:J10"/>
  <tableColumns count="10">
    <tableColumn id="1" name="Number" dataDxfId="24"/>
    <tableColumn id="2" name="Last Name" dataDxfId="23"/>
    <tableColumn id="3" name="First Name" dataDxfId="22"/>
    <tableColumn id="4" name="Address" dataDxfId="21"/>
    <tableColumn id="5" name="City" dataDxfId="20"/>
    <tableColumn id="6" name="State" dataDxfId="19"/>
    <tableColumn id="7" name="Zip" dataDxfId="18"/>
    <tableColumn id="8" name="Phone" dataDxfId="17"/>
    <tableColumn id="9" name="Pension Plan" dataDxfId="16"/>
    <tableColumn id="10" name="Balance" dataDxfId="15" dataCellStyle="Currency"/>
  </tableColumns>
  <tableStyleInfo name="TableStyleMedium2" showFirstColumn="0" showLastColumn="0" showRowStripes="1" showColumnStripes="0"/>
</table>
</file>

<file path=xl/tables/table3.xml><?xml version="1.0" encoding="utf-8"?>
<table xmlns="http://schemas.openxmlformats.org/spreadsheetml/2006/main" id="3" name="Data_table" displayName="Data_table" ref="A3:J12" totalsRowShown="0" headerRowDxfId="13" dataDxfId="11" headerRowBorderDxfId="12" tableBorderDxfId="10">
  <autoFilter ref="A3:J12"/>
  <tableColumns count="10">
    <tableColumn id="1" name="Number" dataDxfId="9"/>
    <tableColumn id="2" name="Last Name" dataDxfId="8"/>
    <tableColumn id="3" name="First Name" dataDxfId="7"/>
    <tableColumn id="4" name="Address" dataDxfId="6"/>
    <tableColumn id="5" name="City" dataDxfId="5"/>
    <tableColumn id="6" name="State" dataDxfId="4"/>
    <tableColumn id="7" name="Zip" dataDxfId="3"/>
    <tableColumn id="8" name="Phone" dataDxfId="2"/>
    <tableColumn id="9" name="Pension Plan" dataDxfId="1"/>
    <tableColumn id="10" name="Balance" dataDxfId="0" dataCellStyle="Currency"/>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drawing" Target="../drawings/drawing23.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6.xml"/></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37.xml"/></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38.xml"/></Relationships>
</file>

<file path=xl/worksheets/_rels/sheet40.xml.rels><?xml version="1.0" encoding="UTF-8" standalone="yes"?>
<Relationships xmlns="http://schemas.openxmlformats.org/package/2006/relationships"><Relationship Id="rId1" Type="http://schemas.openxmlformats.org/officeDocument/2006/relationships/drawing" Target="../drawings/drawing39.xml"/></Relationships>
</file>

<file path=xl/worksheets/_rels/sheet41.xml.rels><?xml version="1.0" encoding="UTF-8" standalone="yes"?>
<Relationships xmlns="http://schemas.openxmlformats.org/package/2006/relationships"><Relationship Id="rId1" Type="http://schemas.openxmlformats.org/officeDocument/2006/relationships/drawing" Target="../drawings/drawing40.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1.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42.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43.xml"/></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44.xm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4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4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4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48.xml"/></Relationships>
</file>

<file path=xl/worksheets/_rels/sheet50.xml.rels><?xml version="1.0" encoding="UTF-8" standalone="yes"?>
<Relationships xmlns="http://schemas.openxmlformats.org/package/2006/relationships"><Relationship Id="rId1" Type="http://schemas.openxmlformats.org/officeDocument/2006/relationships/drawing" Target="../drawings/drawing49.xml"/></Relationships>
</file>

<file path=xl/worksheets/_rels/sheet51.xml.rels><?xml version="1.0" encoding="UTF-8" standalone="yes"?>
<Relationships xmlns="http://schemas.openxmlformats.org/package/2006/relationships"><Relationship Id="rId1" Type="http://schemas.openxmlformats.org/officeDocument/2006/relationships/drawing" Target="../drawings/drawing50.xml"/></Relationships>
</file>

<file path=xl/worksheets/_rels/sheet52.xml.rels><?xml version="1.0" encoding="UTF-8" standalone="yes"?>
<Relationships xmlns="http://schemas.openxmlformats.org/package/2006/relationships"><Relationship Id="rId1" Type="http://schemas.openxmlformats.org/officeDocument/2006/relationships/drawing" Target="../drawings/drawing51.xml"/></Relationships>
</file>

<file path=xl/worksheets/_rels/sheet53.xml.rels><?xml version="1.0" encoding="UTF-8" standalone="yes"?>
<Relationships xmlns="http://schemas.openxmlformats.org/package/2006/relationships"><Relationship Id="rId1" Type="http://schemas.openxmlformats.org/officeDocument/2006/relationships/drawing" Target="../drawings/drawing52.xml"/></Relationships>
</file>

<file path=xl/worksheets/_rels/sheet54.xml.rels><?xml version="1.0" encoding="UTF-8" standalone="yes"?>
<Relationships xmlns="http://schemas.openxmlformats.org/package/2006/relationships"><Relationship Id="rId1" Type="http://schemas.openxmlformats.org/officeDocument/2006/relationships/drawing" Target="../drawings/drawing53.xml"/></Relationships>
</file>

<file path=xl/worksheets/_rels/sheet55.xml.rels><?xml version="1.0" encoding="UTF-8" standalone="yes"?>
<Relationships xmlns="http://schemas.openxmlformats.org/package/2006/relationships"><Relationship Id="rId1" Type="http://schemas.openxmlformats.org/officeDocument/2006/relationships/drawing" Target="../drawings/drawing54.xml"/></Relationships>
</file>

<file path=xl/worksheets/_rels/sheet56.xml.rels><?xml version="1.0" encoding="UTF-8" standalone="yes"?>
<Relationships xmlns="http://schemas.openxmlformats.org/package/2006/relationships"><Relationship Id="rId1" Type="http://schemas.openxmlformats.org/officeDocument/2006/relationships/drawing" Target="../drawings/drawing55.xml"/></Relationships>
</file>

<file path=xl/worksheets/_rels/sheet57.xml.rels><?xml version="1.0" encoding="UTF-8" standalone="yes"?>
<Relationships xmlns="http://schemas.openxmlformats.org/package/2006/relationships"><Relationship Id="rId1" Type="http://schemas.openxmlformats.org/officeDocument/2006/relationships/drawing" Target="../drawings/drawing56.xml"/></Relationships>
</file>

<file path=xl/worksheets/_rels/sheet58.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drawing" Target="../drawings/drawing57.xml"/></Relationships>
</file>

<file path=xl/worksheets/_rels/sheet59.xml.rels><?xml version="1.0" encoding="UTF-8" standalone="yes"?>
<Relationships xmlns="http://schemas.openxmlformats.org/package/2006/relationships"><Relationship Id="rId1" Type="http://schemas.openxmlformats.org/officeDocument/2006/relationships/drawing" Target="../drawings/drawing58.xml"/></Relationships>
</file>

<file path=xl/worksheets/_rels/sheet60.xml.rels><?xml version="1.0" encoding="UTF-8" standalone="yes"?>
<Relationships xmlns="http://schemas.openxmlformats.org/package/2006/relationships"><Relationship Id="rId1" Type="http://schemas.openxmlformats.org/officeDocument/2006/relationships/drawing" Target="../drawings/drawing59.xml"/></Relationships>
</file>

<file path=xl/worksheets/_rels/sheet61.xml.rels><?xml version="1.0" encoding="UTF-8" standalone="yes"?>
<Relationships xmlns="http://schemas.openxmlformats.org/package/2006/relationships"><Relationship Id="rId1" Type="http://schemas.openxmlformats.org/officeDocument/2006/relationships/drawing" Target="../drawings/drawing60.xml"/></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61.xml"/><Relationship Id="rId1" Type="http://schemas.openxmlformats.org/officeDocument/2006/relationships/pivotTable" Target="../pivotTables/pivotTable1.xml"/></Relationships>
</file>

<file path=xl/worksheets/_rels/sheet63.xml.rels><?xml version="1.0" encoding="UTF-8" standalone="yes"?>
<Relationships xmlns="http://schemas.openxmlformats.org/package/2006/relationships"><Relationship Id="rId1" Type="http://schemas.openxmlformats.org/officeDocument/2006/relationships/drawing" Target="../drawings/drawing62.xml"/></Relationships>
</file>

<file path=xl/worksheets/_rels/sheet64.xml.rels><?xml version="1.0" encoding="UTF-8" standalone="yes"?>
<Relationships xmlns="http://schemas.openxmlformats.org/package/2006/relationships"><Relationship Id="rId1" Type="http://schemas.openxmlformats.org/officeDocument/2006/relationships/drawing" Target="../drawings/drawing63.xml"/></Relationships>
</file>

<file path=xl/worksheets/_rels/sheet65.xml.rels><?xml version="1.0" encoding="UTF-8" standalone="yes"?>
<Relationships xmlns="http://schemas.openxmlformats.org/package/2006/relationships"><Relationship Id="rId1" Type="http://schemas.openxmlformats.org/officeDocument/2006/relationships/drawing" Target="../drawings/drawing64.xml"/></Relationships>
</file>

<file path=xl/worksheets/_rels/sheet66.xml.rels><?xml version="1.0" encoding="UTF-8" standalone="yes"?>
<Relationships xmlns="http://schemas.openxmlformats.org/package/2006/relationships"><Relationship Id="rId1" Type="http://schemas.openxmlformats.org/officeDocument/2006/relationships/drawing" Target="../drawings/drawing65.xml"/></Relationships>
</file>

<file path=xl/worksheets/_rels/sheet67.xml.rels><?xml version="1.0" encoding="UTF-8" standalone="yes"?>
<Relationships xmlns="http://schemas.openxmlformats.org/package/2006/relationships"><Relationship Id="rId1" Type="http://schemas.openxmlformats.org/officeDocument/2006/relationships/drawing" Target="../drawings/drawing6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tabColor rgb="FFFF0000"/>
  </sheetPr>
  <dimension ref="A1:J99"/>
  <sheetViews>
    <sheetView showGridLines="0" tabSelected="1" topLeftCell="A31" zoomScale="70" zoomScaleNormal="70" workbookViewId="0">
      <selection activeCell="E50" sqref="E50"/>
    </sheetView>
  </sheetViews>
  <sheetFormatPr defaultRowHeight="15.75" x14ac:dyDescent="0.25"/>
  <cols>
    <col min="2" max="2" width="15.75" style="9" customWidth="1"/>
    <col min="3" max="3" width="17.125" customWidth="1"/>
    <col min="4" max="4" width="27.25" customWidth="1"/>
    <col min="5" max="5" width="70.875" customWidth="1"/>
    <col min="6" max="6" width="78.625" customWidth="1"/>
    <col min="7" max="7" width="50.25" style="6" customWidth="1"/>
    <col min="8" max="8" width="11.625" customWidth="1"/>
    <col min="9" max="9" width="40.625" customWidth="1"/>
    <col min="10" max="10" width="17.75" customWidth="1"/>
  </cols>
  <sheetData>
    <row r="1" spans="1:10" ht="26.25" x14ac:dyDescent="0.4">
      <c r="A1" s="67" t="s">
        <v>0</v>
      </c>
      <c r="B1" s="10"/>
    </row>
    <row r="3" spans="1:10" ht="31.5" x14ac:dyDescent="0.25">
      <c r="A3" s="11"/>
      <c r="B3" s="11" t="s">
        <v>29</v>
      </c>
      <c r="C3" s="11" t="s">
        <v>1</v>
      </c>
      <c r="D3" s="11" t="s">
        <v>2</v>
      </c>
      <c r="E3" s="292" t="s">
        <v>4</v>
      </c>
      <c r="F3" s="11" t="s">
        <v>5</v>
      </c>
      <c r="G3" s="11" t="s">
        <v>7</v>
      </c>
      <c r="H3" s="11" t="s">
        <v>23</v>
      </c>
      <c r="I3" s="293" t="s">
        <v>10</v>
      </c>
      <c r="J3" s="7" t="s">
        <v>225</v>
      </c>
    </row>
    <row r="4" spans="1:10" x14ac:dyDescent="0.25">
      <c r="A4">
        <v>1</v>
      </c>
      <c r="B4" s="12">
        <v>41480</v>
      </c>
      <c r="C4" s="5" t="s">
        <v>456</v>
      </c>
      <c r="D4" s="6" t="s">
        <v>3</v>
      </c>
      <c r="E4" s="1" t="s">
        <v>30</v>
      </c>
      <c r="F4" s="1" t="s">
        <v>31</v>
      </c>
      <c r="G4" s="6" t="s">
        <v>9</v>
      </c>
      <c r="H4" s="4" t="s">
        <v>24</v>
      </c>
      <c r="I4" t="s">
        <v>32</v>
      </c>
      <c r="J4" s="9" t="s">
        <v>9</v>
      </c>
    </row>
    <row r="5" spans="1:10" x14ac:dyDescent="0.25">
      <c r="A5">
        <v>2</v>
      </c>
      <c r="B5" s="12">
        <v>41480</v>
      </c>
      <c r="C5" s="5" t="s">
        <v>457</v>
      </c>
      <c r="D5" s="6" t="s">
        <v>33</v>
      </c>
      <c r="E5" t="s">
        <v>36</v>
      </c>
      <c r="F5" s="1" t="s">
        <v>35</v>
      </c>
      <c r="G5" s="6" t="s">
        <v>9</v>
      </c>
      <c r="H5" s="4" t="s">
        <v>25</v>
      </c>
      <c r="I5" t="s">
        <v>34</v>
      </c>
      <c r="J5" s="9" t="s">
        <v>9</v>
      </c>
    </row>
    <row r="6" spans="1:10" x14ac:dyDescent="0.25">
      <c r="A6">
        <v>3</v>
      </c>
      <c r="B6" s="12">
        <v>41480</v>
      </c>
      <c r="C6" s="294" t="s">
        <v>515</v>
      </c>
      <c r="D6" s="1" t="s">
        <v>101</v>
      </c>
      <c r="E6" s="1" t="s">
        <v>102</v>
      </c>
      <c r="F6" s="1" t="s">
        <v>111</v>
      </c>
      <c r="G6" s="6" t="s">
        <v>9</v>
      </c>
      <c r="H6" s="4" t="s">
        <v>24</v>
      </c>
      <c r="J6" s="9" t="s">
        <v>9</v>
      </c>
    </row>
    <row r="7" spans="1:10" x14ac:dyDescent="0.25">
      <c r="A7">
        <v>4</v>
      </c>
      <c r="B7" s="12">
        <v>41480</v>
      </c>
      <c r="C7" s="5" t="s">
        <v>458</v>
      </c>
      <c r="D7" s="6" t="s">
        <v>3</v>
      </c>
      <c r="E7" s="1" t="s">
        <v>109</v>
      </c>
      <c r="F7" s="1" t="s">
        <v>110</v>
      </c>
      <c r="G7" s="6" t="s">
        <v>9</v>
      </c>
      <c r="H7" s="4" t="s">
        <v>24</v>
      </c>
      <c r="J7" s="9" t="s">
        <v>9</v>
      </c>
    </row>
    <row r="8" spans="1:10" x14ac:dyDescent="0.25">
      <c r="A8">
        <v>5</v>
      </c>
      <c r="B8" s="12">
        <v>41480</v>
      </c>
      <c r="C8" s="5" t="s">
        <v>459</v>
      </c>
      <c r="D8" s="1" t="s">
        <v>122</v>
      </c>
      <c r="E8" s="1" t="s">
        <v>118</v>
      </c>
      <c r="F8" s="1" t="s">
        <v>119</v>
      </c>
      <c r="G8" s="1" t="s">
        <v>121</v>
      </c>
      <c r="H8" s="4" t="s">
        <v>24</v>
      </c>
      <c r="J8" s="86" t="s">
        <v>123</v>
      </c>
    </row>
    <row r="9" spans="1:10" x14ac:dyDescent="0.25">
      <c r="A9" s="290">
        <v>6</v>
      </c>
      <c r="B9" s="12">
        <v>41480</v>
      </c>
      <c r="C9" s="5" t="s">
        <v>460</v>
      </c>
      <c r="D9" s="6" t="s">
        <v>124</v>
      </c>
      <c r="E9" s="1" t="s">
        <v>125</v>
      </c>
      <c r="F9" s="1" t="s">
        <v>126</v>
      </c>
      <c r="G9" s="6" t="s">
        <v>9</v>
      </c>
      <c r="H9" s="4" t="s">
        <v>24</v>
      </c>
      <c r="J9" s="9" t="s">
        <v>9</v>
      </c>
    </row>
    <row r="10" spans="1:10" x14ac:dyDescent="0.25">
      <c r="A10" s="290">
        <v>7</v>
      </c>
      <c r="B10" s="12">
        <v>41480</v>
      </c>
      <c r="C10" s="5" t="s">
        <v>461</v>
      </c>
      <c r="D10" s="6" t="s">
        <v>124</v>
      </c>
      <c r="E10" s="1" t="s">
        <v>127</v>
      </c>
      <c r="F10" s="1" t="s">
        <v>128</v>
      </c>
      <c r="G10" s="6" t="s">
        <v>9</v>
      </c>
      <c r="H10" s="4" t="s">
        <v>24</v>
      </c>
      <c r="J10" s="9" t="s">
        <v>9</v>
      </c>
    </row>
    <row r="11" spans="1:10" x14ac:dyDescent="0.25">
      <c r="A11" s="290">
        <v>8</v>
      </c>
      <c r="B11" s="12">
        <v>41481</v>
      </c>
      <c r="C11" s="5" t="s">
        <v>462</v>
      </c>
      <c r="D11" s="1" t="s">
        <v>14</v>
      </c>
      <c r="E11" s="1" t="s">
        <v>129</v>
      </c>
      <c r="F11" s="1" t="s">
        <v>130</v>
      </c>
      <c r="G11" s="6" t="s">
        <v>9</v>
      </c>
      <c r="H11" s="4" t="s">
        <v>24</v>
      </c>
      <c r="J11" s="9" t="s">
        <v>9</v>
      </c>
    </row>
    <row r="12" spans="1:10" x14ac:dyDescent="0.25">
      <c r="A12" s="290">
        <v>9</v>
      </c>
      <c r="B12" s="12">
        <v>41481</v>
      </c>
      <c r="C12" s="5" t="s">
        <v>463</v>
      </c>
      <c r="D12" s="6" t="s">
        <v>131</v>
      </c>
      <c r="E12" s="1" t="s">
        <v>132</v>
      </c>
      <c r="F12" s="1" t="s">
        <v>133</v>
      </c>
      <c r="G12" s="6" t="s">
        <v>9</v>
      </c>
      <c r="H12" s="4" t="s">
        <v>24</v>
      </c>
      <c r="I12" t="s">
        <v>134</v>
      </c>
      <c r="J12" s="9" t="s">
        <v>9</v>
      </c>
    </row>
    <row r="13" spans="1:10" x14ac:dyDescent="0.25">
      <c r="A13" s="290">
        <v>10</v>
      </c>
      <c r="B13" s="12">
        <v>41481</v>
      </c>
      <c r="C13" s="5" t="s">
        <v>464</v>
      </c>
      <c r="D13" s="6" t="s">
        <v>142</v>
      </c>
      <c r="E13" s="1" t="s">
        <v>143</v>
      </c>
      <c r="F13" s="1" t="s">
        <v>144</v>
      </c>
      <c r="G13" s="6" t="s">
        <v>9</v>
      </c>
      <c r="H13" s="4" t="s">
        <v>24</v>
      </c>
      <c r="J13" s="9" t="s">
        <v>9</v>
      </c>
    </row>
    <row r="14" spans="1:10" x14ac:dyDescent="0.25">
      <c r="A14" s="290">
        <v>11</v>
      </c>
      <c r="B14" s="12">
        <v>41481</v>
      </c>
      <c r="C14" s="5" t="s">
        <v>465</v>
      </c>
      <c r="D14" s="6" t="s">
        <v>151</v>
      </c>
      <c r="E14" s="1" t="s">
        <v>152</v>
      </c>
      <c r="F14" s="1" t="s">
        <v>153</v>
      </c>
      <c r="G14" s="6" t="s">
        <v>9</v>
      </c>
      <c r="H14" s="4" t="s">
        <v>24</v>
      </c>
      <c r="J14" s="9" t="s">
        <v>9</v>
      </c>
    </row>
    <row r="15" spans="1:10" x14ac:dyDescent="0.25">
      <c r="A15" s="290">
        <v>12</v>
      </c>
      <c r="B15" s="12">
        <v>41481</v>
      </c>
      <c r="C15" s="5" t="s">
        <v>466</v>
      </c>
      <c r="D15" s="1" t="s">
        <v>154</v>
      </c>
      <c r="E15" s="1" t="s">
        <v>155</v>
      </c>
      <c r="F15" s="1" t="s">
        <v>156</v>
      </c>
      <c r="G15" s="6" t="s">
        <v>9</v>
      </c>
      <c r="H15" s="4" t="s">
        <v>24</v>
      </c>
      <c r="J15" s="9" t="s">
        <v>9</v>
      </c>
    </row>
    <row r="16" spans="1:10" x14ac:dyDescent="0.25">
      <c r="A16" s="290">
        <v>13</v>
      </c>
      <c r="B16" s="12">
        <v>41481</v>
      </c>
      <c r="C16" s="5" t="s">
        <v>467</v>
      </c>
      <c r="D16" s="1" t="s">
        <v>122</v>
      </c>
      <c r="E16" s="1" t="s">
        <v>167</v>
      </c>
      <c r="F16" s="1" t="s">
        <v>168</v>
      </c>
      <c r="G16" s="6" t="s">
        <v>9</v>
      </c>
      <c r="H16" s="4" t="s">
        <v>24</v>
      </c>
      <c r="J16" s="9" t="s">
        <v>9</v>
      </c>
    </row>
    <row r="17" spans="1:10" x14ac:dyDescent="0.25">
      <c r="A17" s="290">
        <v>14</v>
      </c>
      <c r="B17" s="12">
        <v>41481</v>
      </c>
      <c r="C17" s="5" t="s">
        <v>468</v>
      </c>
      <c r="D17" s="6" t="s">
        <v>169</v>
      </c>
      <c r="E17" s="289" t="s">
        <v>170</v>
      </c>
      <c r="F17" s="1" t="s">
        <v>171</v>
      </c>
      <c r="G17" s="6" t="s">
        <v>9</v>
      </c>
      <c r="H17" s="4" t="s">
        <v>24</v>
      </c>
      <c r="J17" s="9" t="s">
        <v>9</v>
      </c>
    </row>
    <row r="18" spans="1:10" x14ac:dyDescent="0.25">
      <c r="A18" s="290">
        <v>15</v>
      </c>
      <c r="B18" s="12">
        <v>41482</v>
      </c>
      <c r="C18" s="5" t="s">
        <v>469</v>
      </c>
      <c r="D18" s="6" t="s">
        <v>169</v>
      </c>
      <c r="E18" s="289" t="s">
        <v>175</v>
      </c>
      <c r="F18" s="1" t="s">
        <v>173</v>
      </c>
      <c r="G18" s="1" t="s">
        <v>174</v>
      </c>
      <c r="H18" s="4" t="s">
        <v>24</v>
      </c>
      <c r="J18" s="9" t="s">
        <v>9</v>
      </c>
    </row>
    <row r="19" spans="1:10" x14ac:dyDescent="0.25">
      <c r="A19" s="290">
        <v>16</v>
      </c>
      <c r="B19" s="12">
        <v>41482</v>
      </c>
      <c r="C19" s="5" t="s">
        <v>470</v>
      </c>
      <c r="D19" s="6" t="s">
        <v>100</v>
      </c>
      <c r="E19" s="289" t="s">
        <v>182</v>
      </c>
      <c r="F19" s="1" t="s">
        <v>181</v>
      </c>
      <c r="G19" s="1" t="s">
        <v>183</v>
      </c>
      <c r="H19" s="4" t="s">
        <v>24</v>
      </c>
      <c r="J19" s="9" t="s">
        <v>9</v>
      </c>
    </row>
    <row r="20" spans="1:10" x14ac:dyDescent="0.25">
      <c r="A20" s="290">
        <v>17</v>
      </c>
      <c r="B20" s="12">
        <v>41483</v>
      </c>
      <c r="C20" s="5" t="s">
        <v>471</v>
      </c>
      <c r="D20" s="6" t="s">
        <v>184</v>
      </c>
      <c r="E20" s="289" t="s">
        <v>186</v>
      </c>
      <c r="F20" s="1" t="s">
        <v>185</v>
      </c>
      <c r="G20" s="6" t="s">
        <v>9</v>
      </c>
      <c r="H20" s="4" t="s">
        <v>24</v>
      </c>
      <c r="J20" s="9" t="s">
        <v>9</v>
      </c>
    </row>
    <row r="21" spans="1:10" x14ac:dyDescent="0.25">
      <c r="A21" s="290">
        <v>18</v>
      </c>
      <c r="B21" s="12">
        <v>41483</v>
      </c>
      <c r="C21" s="5" t="s">
        <v>472</v>
      </c>
      <c r="D21" s="1" t="s">
        <v>187</v>
      </c>
      <c r="E21" s="289" t="s">
        <v>188</v>
      </c>
      <c r="F21" s="1" t="s">
        <v>189</v>
      </c>
      <c r="G21" s="1" t="s">
        <v>190</v>
      </c>
      <c r="H21" s="4" t="s">
        <v>24</v>
      </c>
      <c r="J21" s="9" t="s">
        <v>9</v>
      </c>
    </row>
    <row r="22" spans="1:10" x14ac:dyDescent="0.25">
      <c r="A22" s="290">
        <v>19</v>
      </c>
      <c r="B22" s="12">
        <v>41483</v>
      </c>
      <c r="C22" s="5" t="s">
        <v>473</v>
      </c>
      <c r="D22" s="1" t="s">
        <v>193</v>
      </c>
      <c r="E22" s="289" t="s">
        <v>191</v>
      </c>
      <c r="F22" s="1" t="s">
        <v>194</v>
      </c>
      <c r="G22" s="1" t="s">
        <v>192</v>
      </c>
      <c r="H22" s="4" t="s">
        <v>24</v>
      </c>
      <c r="J22" s="9" t="s">
        <v>9</v>
      </c>
    </row>
    <row r="23" spans="1:10" x14ac:dyDescent="0.25">
      <c r="A23" s="290">
        <v>20</v>
      </c>
      <c r="B23" s="12">
        <v>41484</v>
      </c>
      <c r="C23" s="5" t="s">
        <v>474</v>
      </c>
      <c r="D23" s="1" t="s">
        <v>203</v>
      </c>
      <c r="E23" s="289" t="s">
        <v>206</v>
      </c>
      <c r="F23" s="1" t="s">
        <v>205</v>
      </c>
      <c r="G23" s="1" t="s">
        <v>204</v>
      </c>
      <c r="H23" s="4" t="s">
        <v>24</v>
      </c>
      <c r="J23" s="9" t="s">
        <v>202</v>
      </c>
    </row>
    <row r="24" spans="1:10" x14ac:dyDescent="0.25">
      <c r="A24" s="290">
        <v>21</v>
      </c>
      <c r="B24" s="12">
        <v>41484</v>
      </c>
      <c r="C24" s="294" t="s">
        <v>475</v>
      </c>
      <c r="D24" s="1" t="s">
        <v>209</v>
      </c>
      <c r="E24" s="289" t="s">
        <v>207</v>
      </c>
      <c r="F24" s="1" t="s">
        <v>210</v>
      </c>
      <c r="G24" s="1" t="s">
        <v>208</v>
      </c>
      <c r="H24" s="4" t="s">
        <v>24</v>
      </c>
      <c r="I24" s="1" t="s">
        <v>211</v>
      </c>
      <c r="J24" s="9" t="s">
        <v>9</v>
      </c>
    </row>
    <row r="25" spans="1:10" x14ac:dyDescent="0.25">
      <c r="A25" s="290">
        <v>22</v>
      </c>
      <c r="B25" s="12">
        <v>41484</v>
      </c>
      <c r="C25" s="5" t="s">
        <v>476</v>
      </c>
      <c r="D25" s="6" t="s">
        <v>22</v>
      </c>
      <c r="E25" s="290" t="s">
        <v>27</v>
      </c>
      <c r="F25" t="s">
        <v>28</v>
      </c>
      <c r="G25" s="6" t="s">
        <v>9</v>
      </c>
      <c r="H25" s="4" t="s">
        <v>25</v>
      </c>
      <c r="J25" s="9" t="s">
        <v>9</v>
      </c>
    </row>
    <row r="26" spans="1:10" x14ac:dyDescent="0.25">
      <c r="A26" s="290">
        <v>23</v>
      </c>
      <c r="B26" s="12">
        <v>41484</v>
      </c>
      <c r="C26" s="5" t="s">
        <v>477</v>
      </c>
      <c r="D26" s="1" t="s">
        <v>14</v>
      </c>
      <c r="E26" s="290" t="s">
        <v>12</v>
      </c>
      <c r="F26" t="s">
        <v>13</v>
      </c>
      <c r="G26" s="291" t="s">
        <v>9</v>
      </c>
      <c r="H26" s="4" t="s">
        <v>24</v>
      </c>
      <c r="I26" t="s">
        <v>11</v>
      </c>
      <c r="J26" s="9" t="s">
        <v>9</v>
      </c>
    </row>
    <row r="27" spans="1:10" x14ac:dyDescent="0.25">
      <c r="A27" s="290">
        <v>24</v>
      </c>
      <c r="B27" s="12">
        <v>41484</v>
      </c>
      <c r="C27" s="5" t="s">
        <v>477</v>
      </c>
      <c r="D27" s="1" t="s">
        <v>15</v>
      </c>
      <c r="E27" s="290" t="s">
        <v>16</v>
      </c>
      <c r="F27" t="s">
        <v>17</v>
      </c>
      <c r="G27" s="1" t="s">
        <v>16</v>
      </c>
      <c r="H27" s="4" t="s">
        <v>24</v>
      </c>
      <c r="I27" t="s">
        <v>11</v>
      </c>
      <c r="J27" s="9" t="s">
        <v>26</v>
      </c>
    </row>
    <row r="28" spans="1:10" x14ac:dyDescent="0.25">
      <c r="A28" s="290">
        <v>25</v>
      </c>
      <c r="B28" s="12">
        <v>41484</v>
      </c>
      <c r="C28" s="5" t="s">
        <v>477</v>
      </c>
      <c r="D28" s="1" t="s">
        <v>18</v>
      </c>
      <c r="E28" s="290" t="s">
        <v>20</v>
      </c>
      <c r="F28" t="s">
        <v>21</v>
      </c>
      <c r="G28" s="6" t="s">
        <v>19</v>
      </c>
      <c r="H28" s="4" t="s">
        <v>24</v>
      </c>
      <c r="I28" t="s">
        <v>11</v>
      </c>
      <c r="J28" s="9" t="s">
        <v>26</v>
      </c>
    </row>
    <row r="29" spans="1:10" x14ac:dyDescent="0.25">
      <c r="A29" s="290">
        <v>26</v>
      </c>
      <c r="B29" s="12">
        <v>41484</v>
      </c>
      <c r="C29" s="5" t="s">
        <v>478</v>
      </c>
      <c r="D29" s="1" t="s">
        <v>3</v>
      </c>
      <c r="E29" s="2" t="s">
        <v>8</v>
      </c>
      <c r="F29" s="3" t="s">
        <v>6</v>
      </c>
      <c r="G29" s="291" t="s">
        <v>9</v>
      </c>
      <c r="H29" s="4" t="s">
        <v>24</v>
      </c>
      <c r="I29" s="4"/>
      <c r="J29" s="8" t="s">
        <v>9</v>
      </c>
    </row>
    <row r="30" spans="1:10" x14ac:dyDescent="0.25">
      <c r="A30" s="290">
        <v>27</v>
      </c>
      <c r="B30" s="12">
        <v>41484</v>
      </c>
      <c r="C30" t="s">
        <v>479</v>
      </c>
      <c r="D30" s="6" t="s">
        <v>131</v>
      </c>
      <c r="E30" s="289" t="s">
        <v>223</v>
      </c>
      <c r="F30" s="1" t="s">
        <v>222</v>
      </c>
      <c r="G30" s="6" t="s">
        <v>9</v>
      </c>
      <c r="H30" s="4" t="s">
        <v>24</v>
      </c>
      <c r="I30" s="1" t="s">
        <v>224</v>
      </c>
      <c r="J30" s="9" t="s">
        <v>9</v>
      </c>
    </row>
    <row r="31" spans="1:10" x14ac:dyDescent="0.25">
      <c r="A31" s="290">
        <v>28</v>
      </c>
      <c r="B31" s="12">
        <v>41484</v>
      </c>
      <c r="C31" s="294" t="s">
        <v>480</v>
      </c>
      <c r="D31" s="1" t="s">
        <v>228</v>
      </c>
      <c r="E31" s="289" t="s">
        <v>226</v>
      </c>
      <c r="F31" s="1" t="s">
        <v>229</v>
      </c>
      <c r="G31" s="6" t="s">
        <v>9</v>
      </c>
      <c r="H31" s="4" t="s">
        <v>24</v>
      </c>
      <c r="J31" s="9" t="s">
        <v>9</v>
      </c>
    </row>
    <row r="32" spans="1:10" x14ac:dyDescent="0.25">
      <c r="A32" s="290">
        <v>29</v>
      </c>
      <c r="B32" s="12">
        <v>41484</v>
      </c>
      <c r="C32" s="5" t="s">
        <v>481</v>
      </c>
      <c r="D32" s="6" t="s">
        <v>236</v>
      </c>
      <c r="E32" s="289" t="s">
        <v>235</v>
      </c>
      <c r="F32" s="1" t="s">
        <v>237</v>
      </c>
      <c r="G32" s="6" t="s">
        <v>9</v>
      </c>
      <c r="H32" s="4" t="s">
        <v>25</v>
      </c>
      <c r="J32" s="9" t="s">
        <v>9</v>
      </c>
    </row>
    <row r="33" spans="1:10" x14ac:dyDescent="0.25">
      <c r="A33" s="290">
        <v>30</v>
      </c>
      <c r="B33" s="12">
        <v>41484</v>
      </c>
      <c r="C33" s="5" t="s">
        <v>482</v>
      </c>
      <c r="D33" s="6" t="s">
        <v>154</v>
      </c>
      <c r="E33" s="289" t="s">
        <v>244</v>
      </c>
      <c r="F33" s="1" t="s">
        <v>245</v>
      </c>
      <c r="G33" s="6" t="s">
        <v>9</v>
      </c>
      <c r="H33" s="4" t="s">
        <v>24</v>
      </c>
      <c r="I33" s="1" t="s">
        <v>243</v>
      </c>
      <c r="J33" s="9" t="s">
        <v>9</v>
      </c>
    </row>
    <row r="34" spans="1:10" x14ac:dyDescent="0.25">
      <c r="A34" s="290">
        <v>31</v>
      </c>
      <c r="B34" s="12">
        <v>41484</v>
      </c>
      <c r="C34" s="294" t="s">
        <v>483</v>
      </c>
      <c r="D34" s="6" t="s">
        <v>131</v>
      </c>
      <c r="E34" s="289" t="s">
        <v>132</v>
      </c>
      <c r="F34" s="1" t="s">
        <v>252</v>
      </c>
      <c r="G34" s="6" t="s">
        <v>9</v>
      </c>
      <c r="H34" s="4" t="s">
        <v>24</v>
      </c>
      <c r="I34" t="s">
        <v>134</v>
      </c>
      <c r="J34" s="9" t="s">
        <v>9</v>
      </c>
    </row>
    <row r="35" spans="1:10" x14ac:dyDescent="0.25">
      <c r="A35" s="290">
        <v>32</v>
      </c>
      <c r="B35" s="12">
        <v>41484</v>
      </c>
      <c r="C35" s="5" t="s">
        <v>484</v>
      </c>
      <c r="D35" s="6" t="s">
        <v>154</v>
      </c>
      <c r="E35" s="289" t="s">
        <v>253</v>
      </c>
      <c r="F35" s="1" t="s">
        <v>254</v>
      </c>
      <c r="G35" s="6" t="s">
        <v>9</v>
      </c>
      <c r="H35" s="4" t="s">
        <v>24</v>
      </c>
      <c r="J35" s="9" t="s">
        <v>9</v>
      </c>
    </row>
    <row r="36" spans="1:10" x14ac:dyDescent="0.25">
      <c r="A36" s="290">
        <v>33</v>
      </c>
      <c r="B36" s="12">
        <v>41485</v>
      </c>
      <c r="C36" s="5" t="s">
        <v>485</v>
      </c>
      <c r="D36" s="6" t="s">
        <v>100</v>
      </c>
      <c r="E36" s="289" t="s">
        <v>262</v>
      </c>
      <c r="F36" s="1" t="s">
        <v>263</v>
      </c>
      <c r="G36" s="1" t="s">
        <v>270</v>
      </c>
      <c r="H36" s="4" t="s">
        <v>24</v>
      </c>
      <c r="I36" t="s">
        <v>267</v>
      </c>
      <c r="J36" s="9" t="s">
        <v>9</v>
      </c>
    </row>
    <row r="37" spans="1:10" x14ac:dyDescent="0.25">
      <c r="A37" s="290">
        <v>34</v>
      </c>
      <c r="B37" s="12">
        <v>41485</v>
      </c>
      <c r="C37" s="5" t="s">
        <v>486</v>
      </c>
      <c r="D37" s="1" t="s">
        <v>265</v>
      </c>
      <c r="E37" s="289" t="s">
        <v>264</v>
      </c>
      <c r="F37" s="1" t="s">
        <v>266</v>
      </c>
      <c r="G37" s="1" t="s">
        <v>270</v>
      </c>
      <c r="H37" s="4" t="s">
        <v>24</v>
      </c>
      <c r="I37" t="s">
        <v>267</v>
      </c>
      <c r="J37" s="9" t="s">
        <v>9</v>
      </c>
    </row>
    <row r="38" spans="1:10" x14ac:dyDescent="0.25">
      <c r="A38" s="290">
        <v>35</v>
      </c>
      <c r="B38" s="12">
        <v>41485</v>
      </c>
      <c r="C38" s="294" t="s">
        <v>487</v>
      </c>
      <c r="D38" s="6" t="s">
        <v>101</v>
      </c>
      <c r="E38" s="2" t="s">
        <v>272</v>
      </c>
      <c r="F38" s="1" t="s">
        <v>273</v>
      </c>
      <c r="G38" s="1" t="s">
        <v>271</v>
      </c>
      <c r="H38" s="4" t="s">
        <v>24</v>
      </c>
      <c r="J38" s="9" t="s">
        <v>9</v>
      </c>
    </row>
    <row r="39" spans="1:10" x14ac:dyDescent="0.25">
      <c r="A39" s="290">
        <v>36</v>
      </c>
      <c r="B39" s="12">
        <v>41485</v>
      </c>
      <c r="C39" t="s">
        <v>488</v>
      </c>
      <c r="E39" s="290"/>
      <c r="I39" s="1" t="s">
        <v>455</v>
      </c>
    </row>
    <row r="40" spans="1:10" x14ac:dyDescent="0.25">
      <c r="A40" s="290">
        <v>37</v>
      </c>
      <c r="B40" s="12">
        <v>41485</v>
      </c>
      <c r="C40" s="5" t="s">
        <v>489</v>
      </c>
      <c r="D40" s="6" t="s">
        <v>289</v>
      </c>
      <c r="E40" s="289" t="s">
        <v>287</v>
      </c>
      <c r="F40" s="1" t="s">
        <v>288</v>
      </c>
      <c r="G40" s="6" t="s">
        <v>9</v>
      </c>
      <c r="H40" s="4" t="s">
        <v>24</v>
      </c>
      <c r="J40" s="9" t="s">
        <v>9</v>
      </c>
    </row>
    <row r="41" spans="1:10" x14ac:dyDescent="0.25">
      <c r="A41" s="290">
        <v>38</v>
      </c>
      <c r="B41" s="12">
        <v>41485</v>
      </c>
      <c r="C41" s="5" t="s">
        <v>490</v>
      </c>
      <c r="D41" s="1" t="s">
        <v>291</v>
      </c>
      <c r="E41" s="289" t="s">
        <v>290</v>
      </c>
      <c r="F41" s="1" t="s">
        <v>295</v>
      </c>
      <c r="G41" s="6" t="s">
        <v>9</v>
      </c>
      <c r="H41" s="4" t="s">
        <v>24</v>
      </c>
      <c r="J41" s="9" t="s">
        <v>9</v>
      </c>
    </row>
    <row r="42" spans="1:10" x14ac:dyDescent="0.25">
      <c r="A42" s="290">
        <v>39</v>
      </c>
      <c r="B42" s="12">
        <v>41485</v>
      </c>
      <c r="C42" s="294" t="s">
        <v>491</v>
      </c>
      <c r="D42" s="1" t="s">
        <v>289</v>
      </c>
      <c r="E42" s="289" t="s">
        <v>297</v>
      </c>
      <c r="F42" s="1" t="s">
        <v>294</v>
      </c>
      <c r="G42" s="6" t="s">
        <v>9</v>
      </c>
      <c r="H42" s="4" t="s">
        <v>24</v>
      </c>
      <c r="J42" s="9" t="s">
        <v>9</v>
      </c>
    </row>
    <row r="43" spans="1:10" x14ac:dyDescent="0.25">
      <c r="A43" s="290">
        <v>40</v>
      </c>
      <c r="B43" s="12">
        <v>41485</v>
      </c>
      <c r="C43" s="5" t="s">
        <v>492</v>
      </c>
      <c r="E43" s="289" t="s">
        <v>296</v>
      </c>
      <c r="F43" s="1" t="s">
        <v>298</v>
      </c>
      <c r="G43" s="6" t="s">
        <v>9</v>
      </c>
      <c r="H43" s="4" t="s">
        <v>24</v>
      </c>
      <c r="J43" s="9" t="s">
        <v>9</v>
      </c>
    </row>
    <row r="44" spans="1:10" x14ac:dyDescent="0.25">
      <c r="A44" s="290">
        <v>41</v>
      </c>
      <c r="B44" s="12">
        <v>41486</v>
      </c>
      <c r="C44" s="294" t="s">
        <v>517</v>
      </c>
      <c r="D44" s="1" t="s">
        <v>289</v>
      </c>
      <c r="E44" s="289" t="s">
        <v>299</v>
      </c>
      <c r="F44" s="1" t="s">
        <v>300</v>
      </c>
      <c r="G44" s="6" t="s">
        <v>9</v>
      </c>
      <c r="H44" s="4" t="s">
        <v>24</v>
      </c>
      <c r="I44" t="s">
        <v>267</v>
      </c>
      <c r="J44" s="9" t="s">
        <v>9</v>
      </c>
    </row>
    <row r="45" spans="1:10" x14ac:dyDescent="0.25">
      <c r="A45" s="290">
        <v>42</v>
      </c>
      <c r="B45" s="12">
        <v>41486</v>
      </c>
      <c r="C45" s="294" t="s">
        <v>516</v>
      </c>
      <c r="D45" s="1" t="s">
        <v>301</v>
      </c>
      <c r="E45" s="289" t="s">
        <v>303</v>
      </c>
      <c r="F45" s="1" t="s">
        <v>302</v>
      </c>
      <c r="G45" s="6" t="s">
        <v>9</v>
      </c>
      <c r="H45" s="4" t="s">
        <v>24</v>
      </c>
      <c r="I45" t="s">
        <v>267</v>
      </c>
      <c r="J45" s="9" t="s">
        <v>9</v>
      </c>
    </row>
    <row r="46" spans="1:10" x14ac:dyDescent="0.25">
      <c r="A46" s="290">
        <v>43</v>
      </c>
      <c r="B46" s="12">
        <v>41486</v>
      </c>
      <c r="C46" s="294" t="s">
        <v>518</v>
      </c>
      <c r="D46" s="1" t="s">
        <v>305</v>
      </c>
      <c r="E46" s="289" t="s">
        <v>304</v>
      </c>
      <c r="F46" s="1" t="s">
        <v>308</v>
      </c>
      <c r="G46" s="6" t="s">
        <v>9</v>
      </c>
      <c r="H46" s="4" t="s">
        <v>24</v>
      </c>
      <c r="J46" s="9" t="s">
        <v>9</v>
      </c>
    </row>
    <row r="47" spans="1:10" x14ac:dyDescent="0.25">
      <c r="A47" s="290">
        <v>44</v>
      </c>
      <c r="B47" s="12">
        <v>41486</v>
      </c>
      <c r="C47" s="5" t="s">
        <v>493</v>
      </c>
      <c r="D47" s="1" t="s">
        <v>301</v>
      </c>
      <c r="E47" s="289" t="s">
        <v>309</v>
      </c>
      <c r="F47" s="1" t="s">
        <v>307</v>
      </c>
      <c r="G47" s="6" t="s">
        <v>9</v>
      </c>
      <c r="H47" s="4" t="s">
        <v>24</v>
      </c>
      <c r="I47" t="s">
        <v>306</v>
      </c>
      <c r="J47" s="9" t="s">
        <v>9</v>
      </c>
    </row>
    <row r="48" spans="1:10" x14ac:dyDescent="0.25">
      <c r="A48" s="290">
        <v>45</v>
      </c>
      <c r="B48" s="12">
        <v>41486</v>
      </c>
      <c r="C48" s="294" t="s">
        <v>519</v>
      </c>
      <c r="D48" s="1" t="s">
        <v>317</v>
      </c>
      <c r="E48" s="289" t="s">
        <v>316</v>
      </c>
      <c r="F48" s="1" t="s">
        <v>318</v>
      </c>
      <c r="G48" s="6" t="s">
        <v>9</v>
      </c>
      <c r="H48" s="4" t="s">
        <v>24</v>
      </c>
      <c r="J48" s="9" t="s">
        <v>9</v>
      </c>
    </row>
    <row r="49" spans="1:10" x14ac:dyDescent="0.25">
      <c r="A49" s="290">
        <v>46</v>
      </c>
      <c r="B49" s="12">
        <v>41486</v>
      </c>
      <c r="C49" s="5" t="s">
        <v>494</v>
      </c>
      <c r="D49" s="1" t="s">
        <v>131</v>
      </c>
      <c r="E49" s="1" t="s">
        <v>132</v>
      </c>
      <c r="F49" s="1" t="s">
        <v>133</v>
      </c>
      <c r="G49" s="6" t="s">
        <v>9</v>
      </c>
      <c r="H49" s="4" t="s">
        <v>24</v>
      </c>
      <c r="J49" s="9" t="s">
        <v>9</v>
      </c>
    </row>
    <row r="50" spans="1:10" x14ac:dyDescent="0.25">
      <c r="A50" s="290">
        <v>47</v>
      </c>
      <c r="B50" s="12">
        <v>41486</v>
      </c>
      <c r="C50" s="5" t="s">
        <v>495</v>
      </c>
      <c r="D50" s="6" t="s">
        <v>326</v>
      </c>
      <c r="E50" s="1" t="s">
        <v>324</v>
      </c>
      <c r="F50" s="1" t="s">
        <v>325</v>
      </c>
      <c r="G50" s="6" t="s">
        <v>9</v>
      </c>
      <c r="H50" s="4" t="s">
        <v>24</v>
      </c>
      <c r="J50" s="9" t="s">
        <v>9</v>
      </c>
    </row>
    <row r="51" spans="1:10" x14ac:dyDescent="0.25">
      <c r="A51" s="290">
        <v>48</v>
      </c>
      <c r="B51" s="12">
        <v>41486</v>
      </c>
      <c r="C51" s="5" t="s">
        <v>496</v>
      </c>
      <c r="D51" s="6" t="s">
        <v>334</v>
      </c>
      <c r="E51" s="1" t="s">
        <v>333</v>
      </c>
      <c r="F51" s="1" t="s">
        <v>338</v>
      </c>
      <c r="G51" s="6" t="s">
        <v>9</v>
      </c>
      <c r="H51" s="4" t="s">
        <v>24</v>
      </c>
      <c r="I51" s="1" t="s">
        <v>335</v>
      </c>
      <c r="J51" s="9" t="s">
        <v>9</v>
      </c>
    </row>
    <row r="52" spans="1:10" x14ac:dyDescent="0.25">
      <c r="A52" s="290">
        <v>49</v>
      </c>
      <c r="B52" s="12">
        <v>41486</v>
      </c>
      <c r="C52" s="294" t="s">
        <v>497</v>
      </c>
      <c r="D52" s="6" t="s">
        <v>339</v>
      </c>
      <c r="E52" s="1" t="s">
        <v>336</v>
      </c>
      <c r="F52" s="1" t="s">
        <v>337</v>
      </c>
      <c r="G52" s="6" t="s">
        <v>9</v>
      </c>
      <c r="H52" s="4" t="s">
        <v>24</v>
      </c>
      <c r="I52" t="s">
        <v>267</v>
      </c>
      <c r="J52" s="9" t="s">
        <v>9</v>
      </c>
    </row>
    <row r="53" spans="1:10" x14ac:dyDescent="0.25">
      <c r="A53" s="290">
        <v>50</v>
      </c>
      <c r="B53" s="12">
        <v>41486</v>
      </c>
      <c r="C53" s="5" t="s">
        <v>498</v>
      </c>
      <c r="D53" s="1" t="s">
        <v>347</v>
      </c>
      <c r="E53" s="1" t="s">
        <v>336</v>
      </c>
      <c r="F53" s="1" t="s">
        <v>346</v>
      </c>
      <c r="G53" s="6" t="s">
        <v>9</v>
      </c>
      <c r="H53" s="4" t="s">
        <v>24</v>
      </c>
      <c r="I53" t="s">
        <v>267</v>
      </c>
      <c r="J53" s="9" t="s">
        <v>9</v>
      </c>
    </row>
    <row r="54" spans="1:10" x14ac:dyDescent="0.25">
      <c r="A54" s="290">
        <v>51</v>
      </c>
      <c r="B54" s="12">
        <v>41486</v>
      </c>
      <c r="C54" s="5" t="s">
        <v>499</v>
      </c>
      <c r="D54" s="6" t="s">
        <v>356</v>
      </c>
      <c r="E54" s="1" t="s">
        <v>354</v>
      </c>
      <c r="F54" s="1" t="s">
        <v>355</v>
      </c>
      <c r="G54" s="6" t="s">
        <v>9</v>
      </c>
      <c r="H54" s="4" t="s">
        <v>24</v>
      </c>
      <c r="I54" t="s">
        <v>357</v>
      </c>
      <c r="J54" s="9" t="s">
        <v>9</v>
      </c>
    </row>
    <row r="55" spans="1:10" x14ac:dyDescent="0.25">
      <c r="A55" s="290">
        <v>52</v>
      </c>
      <c r="B55" s="12">
        <v>41486</v>
      </c>
      <c r="C55" s="5" t="s">
        <v>500</v>
      </c>
      <c r="D55" s="1" t="s">
        <v>360</v>
      </c>
      <c r="E55" s="1" t="s">
        <v>358</v>
      </c>
      <c r="F55" s="1" t="s">
        <v>359</v>
      </c>
      <c r="G55" s="6" t="s">
        <v>9</v>
      </c>
      <c r="H55" s="4" t="s">
        <v>24</v>
      </c>
      <c r="I55" s="6" t="s">
        <v>363</v>
      </c>
      <c r="J55" s="9" t="s">
        <v>9</v>
      </c>
    </row>
    <row r="56" spans="1:10" x14ac:dyDescent="0.25">
      <c r="A56" s="290">
        <v>53</v>
      </c>
      <c r="B56" s="12">
        <v>41486</v>
      </c>
      <c r="C56" s="5" t="s">
        <v>501</v>
      </c>
      <c r="D56" s="1" t="s">
        <v>364</v>
      </c>
      <c r="E56" s="1" t="s">
        <v>361</v>
      </c>
      <c r="F56" s="1" t="s">
        <v>362</v>
      </c>
      <c r="G56" s="6" t="s">
        <v>9</v>
      </c>
      <c r="H56" s="4" t="s">
        <v>24</v>
      </c>
      <c r="J56" s="9" t="s">
        <v>9</v>
      </c>
    </row>
    <row r="57" spans="1:10" x14ac:dyDescent="0.25">
      <c r="A57" s="290">
        <v>54</v>
      </c>
      <c r="B57" s="12">
        <v>41487</v>
      </c>
      <c r="C57" s="294" t="s">
        <v>502</v>
      </c>
      <c r="D57" s="1" t="s">
        <v>375</v>
      </c>
      <c r="E57" s="1" t="s">
        <v>374</v>
      </c>
      <c r="F57" s="1" t="s">
        <v>376</v>
      </c>
      <c r="G57" s="6" t="s">
        <v>9</v>
      </c>
      <c r="H57" s="4" t="s">
        <v>24</v>
      </c>
      <c r="J57" s="9" t="s">
        <v>9</v>
      </c>
    </row>
    <row r="58" spans="1:10" x14ac:dyDescent="0.25">
      <c r="A58" s="290">
        <v>55</v>
      </c>
      <c r="B58" s="12">
        <v>41487</v>
      </c>
      <c r="C58" s="294" t="s">
        <v>503</v>
      </c>
      <c r="D58" s="1" t="s">
        <v>265</v>
      </c>
      <c r="E58" s="1" t="s">
        <v>384</v>
      </c>
      <c r="F58" s="1" t="s">
        <v>385</v>
      </c>
      <c r="G58" s="6" t="s">
        <v>9</v>
      </c>
      <c r="H58" s="4" t="s">
        <v>24</v>
      </c>
      <c r="J58" s="9" t="s">
        <v>9</v>
      </c>
    </row>
    <row r="59" spans="1:10" x14ac:dyDescent="0.25">
      <c r="A59" s="290">
        <v>56</v>
      </c>
      <c r="B59" s="12">
        <v>41487</v>
      </c>
      <c r="C59" s="5" t="s">
        <v>504</v>
      </c>
      <c r="D59" s="6" t="s">
        <v>326</v>
      </c>
      <c r="E59" s="1" t="s">
        <v>386</v>
      </c>
      <c r="F59" s="1" t="s">
        <v>387</v>
      </c>
      <c r="G59" s="6" t="s">
        <v>9</v>
      </c>
      <c r="H59" s="4" t="s">
        <v>24</v>
      </c>
      <c r="J59" s="9" t="s">
        <v>9</v>
      </c>
    </row>
    <row r="60" spans="1:10" x14ac:dyDescent="0.25">
      <c r="A60" s="290">
        <v>57</v>
      </c>
      <c r="B60" s="12">
        <v>41487</v>
      </c>
      <c r="C60" s="5" t="s">
        <v>505</v>
      </c>
      <c r="D60" s="6" t="s">
        <v>392</v>
      </c>
      <c r="E60" s="1" t="s">
        <v>390</v>
      </c>
      <c r="F60" s="1" t="s">
        <v>391</v>
      </c>
      <c r="G60" s="1" t="s">
        <v>388</v>
      </c>
      <c r="H60" s="4" t="s">
        <v>24</v>
      </c>
      <c r="J60" s="9" t="s">
        <v>389</v>
      </c>
    </row>
    <row r="61" spans="1:10" x14ac:dyDescent="0.25">
      <c r="A61">
        <v>58</v>
      </c>
      <c r="B61" s="12">
        <v>41487</v>
      </c>
      <c r="C61" s="294" t="s">
        <v>506</v>
      </c>
      <c r="D61" s="6" t="s">
        <v>402</v>
      </c>
      <c r="E61" s="1" t="s">
        <v>400</v>
      </c>
      <c r="F61" s="1" t="s">
        <v>401</v>
      </c>
      <c r="G61" s="6" t="s">
        <v>9</v>
      </c>
      <c r="H61" s="4" t="s">
        <v>25</v>
      </c>
      <c r="J61" s="9" t="s">
        <v>399</v>
      </c>
    </row>
    <row r="62" spans="1:10" x14ac:dyDescent="0.25">
      <c r="A62">
        <v>59</v>
      </c>
      <c r="B62" s="12">
        <v>41487</v>
      </c>
      <c r="C62" s="5" t="s">
        <v>520</v>
      </c>
      <c r="D62" s="1" t="s">
        <v>301</v>
      </c>
      <c r="E62" s="1" t="s">
        <v>403</v>
      </c>
      <c r="F62" s="1" t="s">
        <v>404</v>
      </c>
      <c r="G62" s="6" t="s">
        <v>9</v>
      </c>
      <c r="H62" s="4" t="s">
        <v>24</v>
      </c>
      <c r="J62" s="9" t="s">
        <v>9</v>
      </c>
    </row>
    <row r="63" spans="1:10" x14ac:dyDescent="0.25">
      <c r="A63">
        <v>60</v>
      </c>
      <c r="B63" s="12">
        <v>41487</v>
      </c>
      <c r="C63" s="5" t="s">
        <v>507</v>
      </c>
      <c r="D63" s="6" t="s">
        <v>227</v>
      </c>
      <c r="E63" s="1" t="s">
        <v>405</v>
      </c>
      <c r="F63" s="1" t="s">
        <v>406</v>
      </c>
      <c r="G63" s="6" t="s">
        <v>9</v>
      </c>
      <c r="H63" s="4" t="s">
        <v>24</v>
      </c>
      <c r="J63" s="9" t="s">
        <v>9</v>
      </c>
    </row>
    <row r="64" spans="1:10" x14ac:dyDescent="0.25">
      <c r="A64">
        <v>61</v>
      </c>
      <c r="B64" s="12">
        <v>41487</v>
      </c>
      <c r="C64" s="294" t="s">
        <v>508</v>
      </c>
      <c r="D64" s="6" t="s">
        <v>409</v>
      </c>
      <c r="E64" s="1" t="s">
        <v>407</v>
      </c>
      <c r="F64" s="1" t="s">
        <v>408</v>
      </c>
      <c r="G64" s="6" t="s">
        <v>9</v>
      </c>
      <c r="H64" s="4" t="s">
        <v>24</v>
      </c>
      <c r="I64" t="s">
        <v>410</v>
      </c>
      <c r="J64" s="9" t="s">
        <v>9</v>
      </c>
    </row>
    <row r="65" spans="1:10" x14ac:dyDescent="0.25">
      <c r="A65">
        <v>62</v>
      </c>
      <c r="B65" s="12">
        <v>41488</v>
      </c>
      <c r="C65" s="294" t="s">
        <v>509</v>
      </c>
      <c r="D65" s="6" t="s">
        <v>416</v>
      </c>
      <c r="E65" s="1" t="s">
        <v>411</v>
      </c>
      <c r="F65" s="1" t="s">
        <v>419</v>
      </c>
      <c r="G65" s="6" t="s">
        <v>9</v>
      </c>
      <c r="H65" s="4" t="s">
        <v>24</v>
      </c>
      <c r="J65" s="9" t="s">
        <v>202</v>
      </c>
    </row>
    <row r="66" spans="1:10" x14ac:dyDescent="0.25">
      <c r="A66">
        <v>63</v>
      </c>
      <c r="B66" s="12">
        <v>41488</v>
      </c>
      <c r="C66" s="294" t="s">
        <v>510</v>
      </c>
      <c r="D66" s="6" t="s">
        <v>420</v>
      </c>
      <c r="E66" s="1" t="s">
        <v>417</v>
      </c>
      <c r="F66" s="1" t="s">
        <v>418</v>
      </c>
      <c r="G66" s="6" t="s">
        <v>9</v>
      </c>
      <c r="H66" s="4" t="s">
        <v>24</v>
      </c>
      <c r="J66" s="9" t="s">
        <v>9</v>
      </c>
    </row>
    <row r="67" spans="1:10" x14ac:dyDescent="0.25">
      <c r="A67">
        <v>64</v>
      </c>
      <c r="B67" s="12">
        <v>41488</v>
      </c>
      <c r="C67" s="294" t="s">
        <v>511</v>
      </c>
      <c r="D67" s="6" t="s">
        <v>423</v>
      </c>
      <c r="E67" s="1" t="s">
        <v>421</v>
      </c>
      <c r="F67" s="1" t="s">
        <v>422</v>
      </c>
      <c r="G67" s="6" t="s">
        <v>9</v>
      </c>
      <c r="H67" s="4" t="s">
        <v>24</v>
      </c>
      <c r="I67" t="s">
        <v>424</v>
      </c>
      <c r="J67" s="9" t="s">
        <v>9</v>
      </c>
    </row>
    <row r="68" spans="1:10" x14ac:dyDescent="0.25">
      <c r="A68">
        <v>65</v>
      </c>
      <c r="B68" s="12">
        <v>41488</v>
      </c>
      <c r="C68" s="294" t="s">
        <v>512</v>
      </c>
      <c r="D68" s="1" t="s">
        <v>100</v>
      </c>
      <c r="E68" s="1" t="s">
        <v>426</v>
      </c>
      <c r="F68" s="1" t="s">
        <v>427</v>
      </c>
      <c r="G68" s="1" t="s">
        <v>425</v>
      </c>
      <c r="H68" s="4" t="s">
        <v>24</v>
      </c>
      <c r="J68" s="9" t="s">
        <v>9</v>
      </c>
    </row>
    <row r="69" spans="1:10" x14ac:dyDescent="0.25">
      <c r="A69">
        <v>66</v>
      </c>
      <c r="B69" s="12">
        <v>41488</v>
      </c>
      <c r="C69" s="294" t="s">
        <v>513</v>
      </c>
      <c r="D69" s="6" t="s">
        <v>441</v>
      </c>
      <c r="E69" s="1" t="s">
        <v>439</v>
      </c>
      <c r="F69" s="1" t="s">
        <v>440</v>
      </c>
      <c r="G69" s="1" t="s">
        <v>438</v>
      </c>
      <c r="H69" s="4" t="s">
        <v>24</v>
      </c>
      <c r="J69" s="9" t="s">
        <v>9</v>
      </c>
    </row>
    <row r="70" spans="1:10" x14ac:dyDescent="0.25">
      <c r="A70">
        <v>67</v>
      </c>
      <c r="B70" s="12">
        <v>41489</v>
      </c>
      <c r="C70" s="294" t="s">
        <v>514</v>
      </c>
      <c r="D70" s="6" t="s">
        <v>446</v>
      </c>
      <c r="E70" s="1" t="s">
        <v>443</v>
      </c>
      <c r="F70" s="1" t="s">
        <v>444</v>
      </c>
      <c r="G70" s="1" t="s">
        <v>445</v>
      </c>
      <c r="H70" s="4" t="s">
        <v>24</v>
      </c>
      <c r="J70" s="9" t="s">
        <v>9</v>
      </c>
    </row>
    <row r="71" spans="1:10" x14ac:dyDescent="0.25">
      <c r="B71" s="12"/>
      <c r="H71" s="4"/>
      <c r="J71" s="9"/>
    </row>
    <row r="72" spans="1:10" x14ac:dyDescent="0.25">
      <c r="B72" s="12">
        <v>41379</v>
      </c>
      <c r="C72" s="294" t="s">
        <v>447</v>
      </c>
      <c r="D72" s="279" t="s">
        <v>452</v>
      </c>
      <c r="E72" s="1" t="s">
        <v>448</v>
      </c>
      <c r="F72" s="1" t="s">
        <v>449</v>
      </c>
      <c r="G72" s="1" t="s">
        <v>450</v>
      </c>
      <c r="H72" s="4" t="s">
        <v>24</v>
      </c>
      <c r="I72" t="s">
        <v>451</v>
      </c>
      <c r="J72" s="9" t="s">
        <v>9</v>
      </c>
    </row>
    <row r="73" spans="1:10" x14ac:dyDescent="0.25">
      <c r="B73" s="12"/>
      <c r="G73" s="1"/>
      <c r="H73" s="4"/>
      <c r="J73" s="9"/>
    </row>
    <row r="74" spans="1:10" x14ac:dyDescent="0.25">
      <c r="B74" s="12"/>
      <c r="H74" s="4"/>
      <c r="J74" s="9"/>
    </row>
    <row r="75" spans="1:10" x14ac:dyDescent="0.25">
      <c r="B75" s="12"/>
      <c r="H75" s="4"/>
      <c r="J75" s="9"/>
    </row>
    <row r="76" spans="1:10" x14ac:dyDescent="0.25">
      <c r="H76" s="4"/>
      <c r="J76" s="9"/>
    </row>
    <row r="77" spans="1:10" x14ac:dyDescent="0.25">
      <c r="H77" s="4"/>
      <c r="J77" s="9"/>
    </row>
    <row r="78" spans="1:10" x14ac:dyDescent="0.25">
      <c r="H78" s="4"/>
      <c r="J78" s="9"/>
    </row>
    <row r="79" spans="1:10" x14ac:dyDescent="0.25">
      <c r="H79" s="4"/>
      <c r="J79" s="9"/>
    </row>
    <row r="80" spans="1:10" x14ac:dyDescent="0.25">
      <c r="H80" s="4"/>
      <c r="J80" s="9"/>
    </row>
    <row r="81" spans="8:10" x14ac:dyDescent="0.25">
      <c r="H81" s="4"/>
      <c r="J81" s="9"/>
    </row>
    <row r="82" spans="8:10" x14ac:dyDescent="0.25">
      <c r="H82" s="4"/>
      <c r="J82" s="9"/>
    </row>
    <row r="83" spans="8:10" x14ac:dyDescent="0.25">
      <c r="H83" s="4"/>
      <c r="J83" s="9"/>
    </row>
    <row r="84" spans="8:10" x14ac:dyDescent="0.25">
      <c r="H84" s="4"/>
      <c r="J84" s="9"/>
    </row>
    <row r="85" spans="8:10" x14ac:dyDescent="0.25">
      <c r="H85" s="4"/>
      <c r="J85" s="9"/>
    </row>
    <row r="86" spans="8:10" x14ac:dyDescent="0.25">
      <c r="H86" s="4"/>
      <c r="J86" s="9"/>
    </row>
    <row r="87" spans="8:10" x14ac:dyDescent="0.25">
      <c r="H87" s="4"/>
      <c r="J87" s="9"/>
    </row>
    <row r="88" spans="8:10" x14ac:dyDescent="0.25">
      <c r="H88" s="4"/>
      <c r="J88" s="9"/>
    </row>
    <row r="89" spans="8:10" x14ac:dyDescent="0.25">
      <c r="H89" s="4"/>
      <c r="J89" s="9"/>
    </row>
    <row r="90" spans="8:10" x14ac:dyDescent="0.25">
      <c r="H90" s="4"/>
      <c r="J90" s="9"/>
    </row>
    <row r="91" spans="8:10" x14ac:dyDescent="0.25">
      <c r="H91" s="4"/>
      <c r="J91" s="9"/>
    </row>
    <row r="92" spans="8:10" x14ac:dyDescent="0.25">
      <c r="H92" s="4"/>
      <c r="J92" s="9"/>
    </row>
    <row r="93" spans="8:10" x14ac:dyDescent="0.25">
      <c r="H93" s="4"/>
      <c r="J93" s="9"/>
    </row>
    <row r="94" spans="8:10" x14ac:dyDescent="0.25">
      <c r="H94" s="4"/>
      <c r="J94" s="9"/>
    </row>
    <row r="95" spans="8:10" x14ac:dyDescent="0.25">
      <c r="H95" s="4"/>
      <c r="J95" s="9"/>
    </row>
    <row r="96" spans="8:10" x14ac:dyDescent="0.25">
      <c r="H96" s="4"/>
      <c r="J96" s="9"/>
    </row>
    <row r="97" spans="8:10" x14ac:dyDescent="0.25">
      <c r="H97" s="4"/>
      <c r="J97" s="9"/>
    </row>
    <row r="98" spans="8:10" x14ac:dyDescent="0.25">
      <c r="H98" s="4"/>
      <c r="J98" s="9"/>
    </row>
    <row r="99" spans="8:10" x14ac:dyDescent="0.25">
      <c r="H99" s="4"/>
      <c r="J99" s="9"/>
    </row>
  </sheetData>
  <hyperlinks>
    <hyperlink ref="C72" location="CarltonCollins!A1" display="Carlton Collins"/>
    <hyperlink ref="C4" location="RichardC!A1" display="RichardC"/>
    <hyperlink ref="C5" location="WilliamD!A1" display="WilliamD"/>
    <hyperlink ref="C6" location="JeremyJ!A1" display="JeremyD"/>
    <hyperlink ref="C7" location="JasonB!A1" display="JasonB"/>
    <hyperlink ref="C8" location="BrianB!A1" display="BrianB"/>
    <hyperlink ref="C9" location="DJD!A1" display="DJD"/>
    <hyperlink ref="C10" location="JimH!A1" display="JimH"/>
    <hyperlink ref="C11" location="EricE!A1" display="EricE"/>
    <hyperlink ref="C12" location="JuliaM!A1" display="JuliaM"/>
    <hyperlink ref="C13" location="VinceW!A1" display="VinceW"/>
    <hyperlink ref="C14" location="JoeM!A1" display="JoeM"/>
    <hyperlink ref="C15" location="TravisL!A1" display="TravisL"/>
    <hyperlink ref="C16" location="KateR!A1" display="KateR"/>
    <hyperlink ref="C17" location="JimS!A1" display="JimS"/>
    <hyperlink ref="C18" location="BenA!A1" display="BenA"/>
    <hyperlink ref="C19" location="PeterH!A1" display="PeterH"/>
    <hyperlink ref="C20" location="FredB!A1" display="FredB"/>
    <hyperlink ref="C21" location="JoshW!A1" display="JoshW"/>
    <hyperlink ref="C22" location="KyleV!A1" display="KyleV"/>
    <hyperlink ref="C23" location="JDK!A1" display="JDK"/>
    <hyperlink ref="C24" location="AsherF!A1" display="AsherF"/>
    <hyperlink ref="C25" location="PamP!A1" display="PamP"/>
    <hyperlink ref="C26" location="JenniferK1!A1" display="JenniferK"/>
    <hyperlink ref="C27" location="JenniferK2!A1" display="JenniferK"/>
    <hyperlink ref="C28" location="JenniferK3!A1" display="JenniferK"/>
    <hyperlink ref="C29" location="PatK!A1" display="PatK"/>
    <hyperlink ref="C31" location="StevenL!A1" display="StevenL"/>
    <hyperlink ref="C32" location="SharonK!A1" display="SharonK"/>
    <hyperlink ref="C33" location="RickY!A1" display="RickY"/>
    <hyperlink ref="C34" location="AmyB!A1" display="AmyB"/>
    <hyperlink ref="C35" location="CraigF!A1" display="CraigF"/>
    <hyperlink ref="C36" location="AnthonyL1!A1" display="AnthonyL1"/>
    <hyperlink ref="C37" location="AnthonyL2!A1" display="AnthonyL2"/>
    <hyperlink ref="C38" location="KentS!A1" display="KentS"/>
    <hyperlink ref="C40" location="MichaelC!A1" display="MichaelC"/>
    <hyperlink ref="C41" location="ToddM!A1" display="ToddM"/>
    <hyperlink ref="C42" location="DavidF1!A1" display="DavidF1"/>
    <hyperlink ref="C43" location="DavidF2!A1" display="DavidF2"/>
    <hyperlink ref="C44" location="MilanF1!A1" display="MilanF1"/>
    <hyperlink ref="C45" location="MilanF2!A1" display="MilanF2"/>
    <hyperlink ref="C46" location="JimSc!A1" display="JimS"/>
    <hyperlink ref="C47" location="StephenK!A1" display="StephenK"/>
    <hyperlink ref="C48" location="TravisW!A1" display="TravisR"/>
    <hyperlink ref="C49" location="GilB!A1" display="GilB"/>
    <hyperlink ref="C50" location="KevinD!A1" display="KevinD"/>
    <hyperlink ref="C51" location="ChadC!A1" display="ChadC"/>
    <hyperlink ref="C52" location="JoeB1!A1" display="JoeB1"/>
    <hyperlink ref="C53" location="JoeB2!A1" display="JoeB2"/>
    <hyperlink ref="C54" location="MarkB!A1" display="MarkB"/>
    <hyperlink ref="C55" location="BradenH!A1" display="BradenH"/>
    <hyperlink ref="C56" location="MaryL!A1" display="MaryL"/>
    <hyperlink ref="C57" location="AlexY!A1" display="AlexY"/>
    <hyperlink ref="C58" location="PatOB!A1" display="PatOB"/>
    <hyperlink ref="C59" location="KimJ!A1" display="KimJ"/>
    <hyperlink ref="C60" location="BradL!A1" display="BradL"/>
    <hyperlink ref="C61" location="BruceMc!A1" display="BruceMc"/>
    <hyperlink ref="C62" location="ColinG!A1" display="ColinG"/>
    <hyperlink ref="C63" location="ThomasU!A1" display="ThomasU"/>
    <hyperlink ref="C64" location="MichaelI!A1" display="MichaelI"/>
    <hyperlink ref="C65" location="DarrinW!A1" display="DarrinW"/>
    <hyperlink ref="C66" location="KarynT!A1" display="KarynT"/>
    <hyperlink ref="C67" location="JordanG!A1" display="JordanG"/>
    <hyperlink ref="C68" location="DavidF!A1" display="DavidF"/>
    <hyperlink ref="C69" location="JesseC!A1" display="ClineJ"/>
    <hyperlink ref="C70" location="DavidR!A1" display="DavidR"/>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28"/>
  <sheetViews>
    <sheetView showGridLines="0" workbookViewId="0">
      <selection activeCell="D33" sqref="D33"/>
    </sheetView>
  </sheetViews>
  <sheetFormatPr defaultRowHeight="15.75" x14ac:dyDescent="0.25"/>
  <cols>
    <col min="1" max="1" width="7.875" bestFit="1" customWidth="1"/>
    <col min="2" max="3" width="10" bestFit="1" customWidth="1"/>
    <col min="4" max="4" width="19" bestFit="1" customWidth="1"/>
    <col min="5" max="5" width="8.375" bestFit="1" customWidth="1"/>
    <col min="6" max="6" width="5.375" bestFit="1" customWidth="1"/>
    <col min="7" max="7" width="5.875" bestFit="1" customWidth="1"/>
    <col min="8" max="8" width="11.875" bestFit="1" customWidth="1"/>
    <col min="9" max="9" width="11.875" customWidth="1"/>
    <col min="10" max="10" width="12.125" bestFit="1" customWidth="1"/>
    <col min="11" max="11" width="3.75" customWidth="1"/>
    <col min="12" max="31" width="3.625" customWidth="1"/>
    <col min="32" max="32" width="3" customWidth="1"/>
  </cols>
  <sheetData>
    <row r="1" spans="1:33" x14ac:dyDescent="0.25">
      <c r="A1" s="82"/>
      <c r="B1" s="295" t="str">
        <f>VLOOKUP(MAX($A$3:$A$147),$A$3:$H$147,2)</f>
        <v>Collins</v>
      </c>
      <c r="C1" s="295" t="str">
        <f>VLOOKUP(MAX($A$3:$A$147),$A$3:$H$147,3)</f>
        <v>Carlton</v>
      </c>
      <c r="D1" s="298" t="s">
        <v>450</v>
      </c>
      <c r="E1" s="295" t="str">
        <f>VLOOKUP(MAX($A$3:$A$147),$A$3:$H$147,5)</f>
        <v>Norcross</v>
      </c>
      <c r="F1" s="295" t="str">
        <f>VLOOKUP(MAX($A$3:$A$147),$A$3:$H$147,6)</f>
        <v xml:space="preserve">GA </v>
      </c>
      <c r="G1" s="295">
        <f>VLOOKUP(MAX($A$3:$A$147),$A$3:$H$147,7)</f>
        <v>30092</v>
      </c>
      <c r="H1" s="295" t="str">
        <f>VLOOKUP(MAX($A$3:$A$147),$A$3:$H$147,8)</f>
        <v>770.842.5902</v>
      </c>
      <c r="I1" s="295" t="str">
        <f>VLOOKUP(MAX($A$3:$A$147),$A$3:$J$147,9)</f>
        <v>Plan A</v>
      </c>
      <c r="J1" s="296">
        <f>VLOOKUP(MAX($A$3:$A$147),$A$3:$J$147,10)</f>
        <v>124533.45</v>
      </c>
      <c r="K1" s="297"/>
      <c r="L1" s="297"/>
      <c r="M1" s="297"/>
      <c r="N1" s="297"/>
      <c r="O1" s="297"/>
      <c r="P1" s="297"/>
      <c r="Q1" s="297"/>
      <c r="R1" s="297"/>
      <c r="S1" s="297"/>
      <c r="T1" s="297"/>
      <c r="U1" s="297"/>
      <c r="V1" s="297"/>
      <c r="W1" s="297"/>
      <c r="X1" s="297"/>
      <c r="Y1" s="297"/>
      <c r="Z1" s="297"/>
      <c r="AA1" s="297"/>
      <c r="AB1" s="297"/>
      <c r="AC1" s="297"/>
      <c r="AD1" s="297"/>
      <c r="AE1" s="297"/>
      <c r="AF1" s="297"/>
      <c r="AG1" s="297"/>
    </row>
    <row r="2" spans="1:33" ht="16.5" thickBot="1" x14ac:dyDescent="0.3">
      <c r="A2" s="73"/>
      <c r="B2" s="20"/>
      <c r="C2" s="20"/>
      <c r="D2" s="20"/>
      <c r="E2" s="20"/>
      <c r="F2" s="20"/>
      <c r="G2" s="20"/>
      <c r="H2" s="20"/>
      <c r="I2" s="22"/>
      <c r="J2" s="20"/>
      <c r="K2" s="23"/>
      <c r="L2" s="23"/>
      <c r="M2" s="23"/>
      <c r="N2" s="23"/>
      <c r="O2" s="23"/>
      <c r="P2" s="23"/>
      <c r="Q2" s="23"/>
      <c r="R2" s="23"/>
      <c r="S2" s="23"/>
      <c r="T2" s="23"/>
      <c r="U2" s="23"/>
      <c r="V2" s="23"/>
      <c r="W2" s="23"/>
      <c r="X2" s="23"/>
      <c r="Y2" s="23"/>
      <c r="Z2" s="23"/>
      <c r="AA2" s="23"/>
      <c r="AB2" s="23"/>
      <c r="AC2" s="23"/>
      <c r="AD2" s="23"/>
      <c r="AE2" s="23"/>
      <c r="AF2" s="23"/>
      <c r="AG2" s="23"/>
    </row>
    <row r="3" spans="1:33" x14ac:dyDescent="0.25">
      <c r="A3" s="68" t="s">
        <v>38</v>
      </c>
      <c r="B3" s="69" t="s">
        <v>39</v>
      </c>
      <c r="C3" s="69" t="s">
        <v>40</v>
      </c>
      <c r="D3" s="69" t="s">
        <v>41</v>
      </c>
      <c r="E3" s="68" t="s">
        <v>42</v>
      </c>
      <c r="F3" s="68" t="s">
        <v>43</v>
      </c>
      <c r="G3" s="68" t="s">
        <v>44</v>
      </c>
      <c r="H3" s="68" t="s">
        <v>45</v>
      </c>
      <c r="I3" s="68" t="s">
        <v>46</v>
      </c>
      <c r="J3" s="68" t="s">
        <v>47</v>
      </c>
      <c r="K3" s="23"/>
      <c r="L3" s="29"/>
      <c r="M3" s="30"/>
      <c r="N3" s="30"/>
      <c r="O3" s="30"/>
      <c r="P3" s="30"/>
      <c r="Q3" s="30"/>
      <c r="R3" s="30"/>
      <c r="S3" s="30"/>
      <c r="T3" s="30"/>
      <c r="U3" s="30"/>
      <c r="V3" s="30"/>
      <c r="W3" s="30"/>
      <c r="X3" s="30"/>
      <c r="Y3" s="30"/>
      <c r="Z3" s="30"/>
      <c r="AA3" s="30"/>
      <c r="AB3" s="30"/>
      <c r="AC3" s="30"/>
      <c r="AD3" s="30"/>
      <c r="AE3" s="31"/>
      <c r="AF3" s="23"/>
      <c r="AG3" s="23"/>
    </row>
    <row r="4" spans="1:33" x14ac:dyDescent="0.25">
      <c r="A4" s="32">
        <v>1</v>
      </c>
      <c r="B4" s="33" t="s">
        <v>48</v>
      </c>
      <c r="C4" s="34" t="s">
        <v>49</v>
      </c>
      <c r="D4" s="34" t="s">
        <v>50</v>
      </c>
      <c r="E4" s="34" t="s">
        <v>51</v>
      </c>
      <c r="F4" s="35" t="s">
        <v>52</v>
      </c>
      <c r="G4" s="35">
        <v>30062</v>
      </c>
      <c r="H4" s="33" t="s">
        <v>53</v>
      </c>
      <c r="I4" s="37" t="s">
        <v>54</v>
      </c>
      <c r="J4" s="70">
        <v>157665</v>
      </c>
      <c r="K4" s="23"/>
      <c r="L4" s="300" t="s">
        <v>55</v>
      </c>
      <c r="M4" s="301"/>
      <c r="N4" s="301"/>
      <c r="O4" s="301"/>
      <c r="P4" s="301"/>
      <c r="Q4" s="301"/>
      <c r="R4" s="301"/>
      <c r="S4" s="301"/>
      <c r="T4" s="301"/>
      <c r="U4" s="301"/>
      <c r="V4" s="301"/>
      <c r="W4" s="301"/>
      <c r="X4" s="301"/>
      <c r="Y4" s="301"/>
      <c r="Z4" s="301"/>
      <c r="AA4" s="301"/>
      <c r="AB4" s="301"/>
      <c r="AC4" s="301"/>
      <c r="AD4" s="301"/>
      <c r="AE4" s="302"/>
      <c r="AF4" s="23"/>
      <c r="AG4" s="23"/>
    </row>
    <row r="5" spans="1:33" x14ac:dyDescent="0.25">
      <c r="A5" s="32">
        <f>IF(ISBLANK(B5)=TRUE,"",1+A4)</f>
        <v>2</v>
      </c>
      <c r="B5" s="39" t="s">
        <v>56</v>
      </c>
      <c r="C5" s="39" t="s">
        <v>57</v>
      </c>
      <c r="D5" s="39" t="s">
        <v>58</v>
      </c>
      <c r="E5" s="39" t="s">
        <v>51</v>
      </c>
      <c r="F5" s="40" t="s">
        <v>52</v>
      </c>
      <c r="G5" s="40">
        <v>30063</v>
      </c>
      <c r="H5" s="42" t="s">
        <v>59</v>
      </c>
      <c r="I5" s="43" t="s">
        <v>60</v>
      </c>
      <c r="J5" s="71">
        <v>156340</v>
      </c>
      <c r="K5" s="23"/>
      <c r="L5" s="45"/>
      <c r="M5" s="46"/>
      <c r="N5" s="46"/>
      <c r="O5" s="46"/>
      <c r="P5" s="46"/>
      <c r="Q5" s="46"/>
      <c r="R5" s="46"/>
      <c r="S5" s="46"/>
      <c r="T5" s="46"/>
      <c r="U5" s="46"/>
      <c r="V5" s="46"/>
      <c r="W5" s="46"/>
      <c r="X5" s="46"/>
      <c r="Y5" s="46"/>
      <c r="Z5" s="46"/>
      <c r="AA5" s="46"/>
      <c r="AB5" s="46"/>
      <c r="AC5" s="46"/>
      <c r="AD5" s="46"/>
      <c r="AE5" s="47"/>
      <c r="AF5" s="23"/>
      <c r="AG5" s="23"/>
    </row>
    <row r="6" spans="1:33" x14ac:dyDescent="0.25">
      <c r="A6" s="32">
        <f t="shared" ref="A6:A28" si="0">IF(ISBLANK(B6)=TRUE,"",1+A5)</f>
        <v>3</v>
      </c>
      <c r="B6" s="39" t="s">
        <v>61</v>
      </c>
      <c r="C6" s="42" t="s">
        <v>62</v>
      </c>
      <c r="D6" s="39" t="s">
        <v>63</v>
      </c>
      <c r="E6" s="39" t="s">
        <v>51</v>
      </c>
      <c r="F6" s="40" t="s">
        <v>52</v>
      </c>
      <c r="G6" s="40">
        <v>30064</v>
      </c>
      <c r="H6" s="42" t="s">
        <v>64</v>
      </c>
      <c r="I6" s="43" t="s">
        <v>65</v>
      </c>
      <c r="J6" s="71">
        <v>81480</v>
      </c>
      <c r="K6" s="23"/>
      <c r="L6" s="45"/>
      <c r="M6" s="48" t="s">
        <v>39</v>
      </c>
      <c r="N6" s="46"/>
      <c r="O6" s="46"/>
      <c r="P6" s="49" t="str">
        <f>B1</f>
        <v>Collins</v>
      </c>
      <c r="Q6" s="50"/>
      <c r="R6" s="50"/>
      <c r="S6" s="50"/>
      <c r="T6" s="50"/>
      <c r="U6" s="51"/>
      <c r="V6" s="46"/>
      <c r="W6" s="52" t="s">
        <v>42</v>
      </c>
      <c r="X6" s="46"/>
      <c r="Y6" s="49" t="str">
        <f>E1</f>
        <v>Norcross</v>
      </c>
      <c r="Z6" s="50"/>
      <c r="AA6" s="50"/>
      <c r="AB6" s="50"/>
      <c r="AC6" s="50"/>
      <c r="AD6" s="51"/>
      <c r="AE6" s="47"/>
      <c r="AF6" s="23"/>
      <c r="AG6" s="23"/>
    </row>
    <row r="7" spans="1:33" x14ac:dyDescent="0.25">
      <c r="A7" s="32">
        <f t="shared" si="0"/>
        <v>4</v>
      </c>
      <c r="B7" s="39" t="s">
        <v>66</v>
      </c>
      <c r="C7" s="42" t="s">
        <v>67</v>
      </c>
      <c r="D7" s="39" t="s">
        <v>68</v>
      </c>
      <c r="E7" s="39" t="s">
        <v>51</v>
      </c>
      <c r="F7" s="40" t="s">
        <v>52</v>
      </c>
      <c r="G7" s="40">
        <v>30065</v>
      </c>
      <c r="H7" s="42" t="s">
        <v>69</v>
      </c>
      <c r="I7" s="43" t="s">
        <v>54</v>
      </c>
      <c r="J7" s="71">
        <v>202578</v>
      </c>
      <c r="K7" s="23"/>
      <c r="L7" s="45"/>
      <c r="M7" s="46"/>
      <c r="N7" s="46"/>
      <c r="O7" s="46"/>
      <c r="P7" s="46"/>
      <c r="Q7" s="46"/>
      <c r="R7" s="46"/>
      <c r="S7" s="46"/>
      <c r="T7" s="46"/>
      <c r="U7" s="46"/>
      <c r="V7" s="46"/>
      <c r="W7" s="46"/>
      <c r="X7" s="46"/>
      <c r="Y7" s="46"/>
      <c r="Z7" s="46"/>
      <c r="AA7" s="46"/>
      <c r="AB7" s="46"/>
      <c r="AC7" s="46"/>
      <c r="AD7" s="46"/>
      <c r="AE7" s="47"/>
      <c r="AF7" s="23"/>
      <c r="AG7" s="23"/>
    </row>
    <row r="8" spans="1:33" x14ac:dyDescent="0.25">
      <c r="A8" s="32">
        <f t="shared" si="0"/>
        <v>5</v>
      </c>
      <c r="B8" s="42" t="s">
        <v>70</v>
      </c>
      <c r="C8" s="39" t="s">
        <v>71</v>
      </c>
      <c r="D8" s="39" t="s">
        <v>72</v>
      </c>
      <c r="E8" s="39" t="s">
        <v>51</v>
      </c>
      <c r="F8" s="40" t="s">
        <v>52</v>
      </c>
      <c r="G8" s="40">
        <v>30066</v>
      </c>
      <c r="H8" s="42" t="s">
        <v>73</v>
      </c>
      <c r="I8" s="43" t="s">
        <v>60</v>
      </c>
      <c r="J8" s="71">
        <v>177209</v>
      </c>
      <c r="K8" s="23"/>
      <c r="L8" s="45"/>
      <c r="M8" s="48" t="s">
        <v>40</v>
      </c>
      <c r="N8" s="46"/>
      <c r="O8" s="46"/>
      <c r="P8" s="49" t="str">
        <f>C1</f>
        <v>Carlton</v>
      </c>
      <c r="Q8" s="50"/>
      <c r="R8" s="50"/>
      <c r="S8" s="50"/>
      <c r="T8" s="50"/>
      <c r="U8" s="51"/>
      <c r="V8" s="46"/>
      <c r="W8" s="52" t="s">
        <v>43</v>
      </c>
      <c r="X8" s="46"/>
      <c r="Y8" s="49" t="str">
        <f>F1</f>
        <v xml:space="preserve">GA </v>
      </c>
      <c r="Z8" s="50"/>
      <c r="AA8" s="50"/>
      <c r="AB8" s="50"/>
      <c r="AC8" s="50"/>
      <c r="AD8" s="51"/>
      <c r="AE8" s="47"/>
      <c r="AF8" s="23"/>
      <c r="AG8" s="23"/>
    </row>
    <row r="9" spans="1:33" x14ac:dyDescent="0.25">
      <c r="A9" s="32">
        <f t="shared" si="0"/>
        <v>6</v>
      </c>
      <c r="B9" s="39" t="s">
        <v>74</v>
      </c>
      <c r="C9" s="39" t="s">
        <v>75</v>
      </c>
      <c r="D9" s="39" t="s">
        <v>76</v>
      </c>
      <c r="E9" s="39" t="s">
        <v>77</v>
      </c>
      <c r="F9" s="40" t="s">
        <v>52</v>
      </c>
      <c r="G9" s="40">
        <v>30092</v>
      </c>
      <c r="H9" s="42" t="s">
        <v>78</v>
      </c>
      <c r="I9" s="43" t="s">
        <v>65</v>
      </c>
      <c r="J9" s="71">
        <v>212254.23</v>
      </c>
      <c r="K9" s="23"/>
      <c r="L9" s="45"/>
      <c r="M9" s="46"/>
      <c r="N9" s="46"/>
      <c r="O9" s="46"/>
      <c r="P9" s="46"/>
      <c r="Q9" s="46"/>
      <c r="R9" s="46"/>
      <c r="S9" s="46"/>
      <c r="T9" s="46"/>
      <c r="U9" s="46"/>
      <c r="V9" s="46"/>
      <c r="W9" s="46"/>
      <c r="X9" s="46"/>
      <c r="Y9" s="46"/>
      <c r="Z9" s="46"/>
      <c r="AA9" s="46"/>
      <c r="AB9" s="46"/>
      <c r="AC9" s="46"/>
      <c r="AD9" s="46"/>
      <c r="AE9" s="47"/>
      <c r="AF9" s="23"/>
      <c r="AG9" s="23"/>
    </row>
    <row r="10" spans="1:33" x14ac:dyDescent="0.25">
      <c r="A10" s="32">
        <f t="shared" si="0"/>
        <v>7</v>
      </c>
      <c r="B10" s="39" t="s">
        <v>79</v>
      </c>
      <c r="C10" s="39" t="s">
        <v>80</v>
      </c>
      <c r="D10" s="39" t="s">
        <v>50</v>
      </c>
      <c r="E10" s="39" t="s">
        <v>81</v>
      </c>
      <c r="F10" s="40" t="s">
        <v>82</v>
      </c>
      <c r="G10" s="40">
        <v>30092</v>
      </c>
      <c r="H10" s="42" t="s">
        <v>53</v>
      </c>
      <c r="I10" s="43" t="s">
        <v>54</v>
      </c>
      <c r="J10" s="71">
        <v>124533.45</v>
      </c>
      <c r="K10" s="23"/>
      <c r="L10" s="45"/>
      <c r="M10" s="48" t="s">
        <v>41</v>
      </c>
      <c r="N10" s="46"/>
      <c r="O10" s="46"/>
      <c r="P10" s="49" t="str">
        <f>D1</f>
        <v>=VLOOKUP(MAX($A$3:$A$147),$A$3:$H$147,4)</v>
      </c>
      <c r="Q10" s="50"/>
      <c r="R10" s="50"/>
      <c r="S10" s="50"/>
      <c r="T10" s="50"/>
      <c r="U10" s="51"/>
      <c r="V10" s="46"/>
      <c r="W10" s="52" t="s">
        <v>44</v>
      </c>
      <c r="X10" s="46"/>
      <c r="Y10" s="49" t="str">
        <f>TEXT(G1,"#####")</f>
        <v>30092</v>
      </c>
      <c r="Z10" s="50"/>
      <c r="AA10" s="50"/>
      <c r="AB10" s="50"/>
      <c r="AC10" s="50"/>
      <c r="AD10" s="51"/>
      <c r="AE10" s="47"/>
      <c r="AF10" s="23"/>
      <c r="AG10" s="23"/>
    </row>
    <row r="11" spans="1:33" x14ac:dyDescent="0.25">
      <c r="A11" s="32" t="str">
        <f t="shared" si="0"/>
        <v/>
      </c>
      <c r="B11" s="39"/>
      <c r="C11" s="39"/>
      <c r="D11" s="39"/>
      <c r="E11" s="39"/>
      <c r="F11" s="39"/>
      <c r="G11" s="39"/>
      <c r="H11" s="39"/>
      <c r="I11" s="40"/>
      <c r="J11" s="39"/>
      <c r="K11" s="23"/>
      <c r="L11" s="45"/>
      <c r="M11" s="46"/>
      <c r="N11" s="46"/>
      <c r="O11" s="46"/>
      <c r="P11" s="46"/>
      <c r="Q11" s="46"/>
      <c r="R11" s="46"/>
      <c r="S11" s="46"/>
      <c r="T11" s="46"/>
      <c r="U11" s="46"/>
      <c r="V11" s="46"/>
      <c r="W11" s="46"/>
      <c r="X11" s="46"/>
      <c r="Y11" s="46"/>
      <c r="Z11" s="46"/>
      <c r="AA11" s="46"/>
      <c r="AB11" s="46"/>
      <c r="AC11" s="46"/>
      <c r="AD11" s="46"/>
      <c r="AE11" s="47"/>
      <c r="AF11" s="23"/>
      <c r="AG11" s="23"/>
    </row>
    <row r="12" spans="1:33" x14ac:dyDescent="0.25">
      <c r="A12" s="32" t="str">
        <f t="shared" si="0"/>
        <v/>
      </c>
      <c r="B12" s="39"/>
      <c r="C12" s="39"/>
      <c r="D12" s="39"/>
      <c r="E12" s="39"/>
      <c r="F12" s="39"/>
      <c r="G12" s="39"/>
      <c r="H12" s="39"/>
      <c r="I12" s="40"/>
      <c r="J12" s="39"/>
      <c r="K12" s="23"/>
      <c r="L12" s="45"/>
      <c r="M12" s="52" t="s">
        <v>45</v>
      </c>
      <c r="N12" s="46"/>
      <c r="O12" s="46"/>
      <c r="P12" s="49" t="str">
        <f>H1</f>
        <v>770.842.5902</v>
      </c>
      <c r="Q12" s="50"/>
      <c r="R12" s="50"/>
      <c r="S12" s="50"/>
      <c r="T12" s="50"/>
      <c r="U12" s="51"/>
      <c r="V12" s="46"/>
      <c r="W12" s="60" t="s">
        <v>99</v>
      </c>
      <c r="X12" s="46"/>
      <c r="Y12" s="49" t="str">
        <f>TEXT(I1,"#####")</f>
        <v>Plan A</v>
      </c>
      <c r="Z12" s="50"/>
      <c r="AA12" s="50"/>
      <c r="AB12" s="50"/>
      <c r="AC12" s="50"/>
      <c r="AD12" s="51"/>
      <c r="AE12" s="47"/>
      <c r="AF12" s="23"/>
      <c r="AG12" s="23"/>
    </row>
    <row r="13" spans="1:33" x14ac:dyDescent="0.25">
      <c r="A13" s="32" t="str">
        <f t="shared" si="0"/>
        <v/>
      </c>
      <c r="B13" s="39"/>
      <c r="C13" s="39"/>
      <c r="D13" s="39"/>
      <c r="E13" s="39"/>
      <c r="F13" s="39"/>
      <c r="G13" s="39"/>
      <c r="H13" s="39"/>
      <c r="I13" s="40"/>
      <c r="J13" s="39"/>
      <c r="K13" s="23"/>
      <c r="L13" s="45"/>
      <c r="M13" s="46"/>
      <c r="N13" s="46"/>
      <c r="O13" s="46"/>
      <c r="P13" s="46"/>
      <c r="Q13" s="46"/>
      <c r="R13" s="46"/>
      <c r="S13" s="46"/>
      <c r="T13" s="46"/>
      <c r="U13" s="46"/>
      <c r="V13" s="46"/>
      <c r="W13" s="46"/>
      <c r="X13" s="46"/>
      <c r="Y13" s="46"/>
      <c r="Z13" s="46"/>
      <c r="AA13" s="46"/>
      <c r="AB13" s="46"/>
      <c r="AC13" s="46"/>
      <c r="AD13" s="46"/>
      <c r="AE13" s="47"/>
      <c r="AF13" s="23"/>
      <c r="AG13" s="23"/>
    </row>
    <row r="14" spans="1:33" x14ac:dyDescent="0.25">
      <c r="A14" s="32" t="str">
        <f t="shared" si="0"/>
        <v/>
      </c>
      <c r="B14" s="39"/>
      <c r="C14" s="39"/>
      <c r="D14" s="39"/>
      <c r="E14" s="39"/>
      <c r="F14" s="39"/>
      <c r="G14" s="39"/>
      <c r="H14" s="39"/>
      <c r="I14" s="40"/>
      <c r="J14" s="39"/>
      <c r="K14" s="23"/>
      <c r="L14" s="45"/>
      <c r="M14" s="52" t="s">
        <v>90</v>
      </c>
      <c r="N14" s="46"/>
      <c r="O14" s="46"/>
      <c r="P14" s="46"/>
      <c r="Q14" s="46"/>
      <c r="R14" s="46"/>
      <c r="S14" s="46"/>
      <c r="T14" s="46"/>
      <c r="U14" s="46"/>
      <c r="V14" s="46"/>
      <c r="W14" s="46"/>
      <c r="X14" s="46"/>
      <c r="Y14" s="76" t="s">
        <v>449</v>
      </c>
      <c r="Z14" s="50"/>
      <c r="AA14" s="50"/>
      <c r="AB14" s="50"/>
      <c r="AC14" s="50"/>
      <c r="AD14" s="51"/>
      <c r="AE14" s="47"/>
      <c r="AF14" s="23"/>
      <c r="AG14" s="23"/>
    </row>
    <row r="15" spans="1:33" x14ac:dyDescent="0.25">
      <c r="A15" s="32" t="str">
        <f t="shared" si="0"/>
        <v/>
      </c>
      <c r="B15" s="39"/>
      <c r="C15" s="39"/>
      <c r="D15" s="39"/>
      <c r="E15" s="39"/>
      <c r="F15" s="39"/>
      <c r="G15" s="39"/>
      <c r="H15" s="39"/>
      <c r="I15" s="40"/>
      <c r="J15" s="39"/>
      <c r="K15" s="23"/>
      <c r="L15" s="45"/>
      <c r="M15" s="46"/>
      <c r="N15" s="46"/>
      <c r="O15" s="46"/>
      <c r="P15" s="46"/>
      <c r="Q15" s="46"/>
      <c r="R15" s="46"/>
      <c r="S15" s="46"/>
      <c r="T15" s="46"/>
      <c r="U15" s="46"/>
      <c r="V15" s="46"/>
      <c r="W15" s="46"/>
      <c r="X15" s="46"/>
      <c r="Y15" s="46"/>
      <c r="Z15" s="46"/>
      <c r="AA15" s="46"/>
      <c r="AB15" s="46"/>
      <c r="AC15" s="46"/>
      <c r="AD15" s="46"/>
      <c r="AE15" s="47"/>
      <c r="AF15" s="23"/>
      <c r="AG15" s="23"/>
    </row>
    <row r="16" spans="1:33" x14ac:dyDescent="0.25">
      <c r="A16" s="32" t="str">
        <f t="shared" si="0"/>
        <v/>
      </c>
      <c r="B16" s="39"/>
      <c r="C16" s="39"/>
      <c r="D16" s="39"/>
      <c r="E16" s="39"/>
      <c r="F16" s="39"/>
      <c r="G16" s="39"/>
      <c r="H16" s="39"/>
      <c r="I16" s="40"/>
      <c r="J16" s="39"/>
      <c r="K16" s="23"/>
      <c r="L16" s="303" t="s">
        <v>91</v>
      </c>
      <c r="M16" s="304"/>
      <c r="N16" s="304"/>
      <c r="O16" s="304"/>
      <c r="P16" s="304"/>
      <c r="Q16" s="304"/>
      <c r="R16" s="304"/>
      <c r="S16" s="304"/>
      <c r="T16" s="304"/>
      <c r="U16" s="304"/>
      <c r="V16" s="304"/>
      <c r="W16" s="304"/>
      <c r="X16" s="304"/>
      <c r="Y16" s="304"/>
      <c r="Z16" s="304"/>
      <c r="AA16" s="304"/>
      <c r="AB16" s="304"/>
      <c r="AC16" s="304"/>
      <c r="AD16" s="304"/>
      <c r="AE16" s="305"/>
      <c r="AF16" s="23"/>
      <c r="AG16" s="23"/>
    </row>
    <row r="17" spans="1:33" ht="16.5" thickBot="1" x14ac:dyDescent="0.3">
      <c r="A17" s="32" t="str">
        <f t="shared" si="0"/>
        <v/>
      </c>
      <c r="B17" s="39"/>
      <c r="C17" s="39"/>
      <c r="D17" s="39"/>
      <c r="E17" s="39"/>
      <c r="F17" s="39"/>
      <c r="G17" s="39"/>
      <c r="H17" s="39"/>
      <c r="I17" s="40"/>
      <c r="J17" s="39"/>
      <c r="K17" s="23"/>
      <c r="L17" s="61"/>
      <c r="M17" s="62"/>
      <c r="N17" s="62"/>
      <c r="O17" s="62"/>
      <c r="P17" s="62"/>
      <c r="Q17" s="62"/>
      <c r="R17" s="62"/>
      <c r="S17" s="62"/>
      <c r="T17" s="62"/>
      <c r="U17" s="62"/>
      <c r="V17" s="62"/>
      <c r="W17" s="62"/>
      <c r="X17" s="62"/>
      <c r="Y17" s="62"/>
      <c r="Z17" s="62"/>
      <c r="AA17" s="62"/>
      <c r="AB17" s="62"/>
      <c r="AC17" s="62"/>
      <c r="AD17" s="62"/>
      <c r="AE17" s="63"/>
      <c r="AF17" s="23"/>
      <c r="AG17" s="23"/>
    </row>
    <row r="18" spans="1:33" x14ac:dyDescent="0.25">
      <c r="A18" s="32" t="str">
        <f t="shared" si="0"/>
        <v/>
      </c>
      <c r="B18" s="39"/>
      <c r="C18" s="39"/>
      <c r="D18" s="39"/>
      <c r="E18" s="39"/>
      <c r="F18" s="39"/>
      <c r="G18" s="39"/>
      <c r="H18" s="39"/>
      <c r="I18" s="40"/>
      <c r="J18" s="39"/>
      <c r="K18" s="23"/>
      <c r="L18" s="23"/>
      <c r="M18" s="23"/>
      <c r="N18" s="23"/>
      <c r="O18" s="23"/>
      <c r="P18" s="23"/>
      <c r="Q18" s="23"/>
      <c r="R18" s="23"/>
      <c r="S18" s="23"/>
      <c r="T18" s="23"/>
      <c r="U18" s="23"/>
      <c r="V18" s="23"/>
      <c r="W18" s="23"/>
      <c r="X18" s="23"/>
      <c r="Y18" s="23"/>
      <c r="Z18" s="23"/>
      <c r="AA18" s="23"/>
      <c r="AB18" s="23"/>
      <c r="AC18" s="23"/>
      <c r="AD18" s="23"/>
      <c r="AE18" s="23"/>
      <c r="AF18" s="23"/>
      <c r="AG18" s="23"/>
    </row>
    <row r="19" spans="1:33" x14ac:dyDescent="0.25">
      <c r="A19" s="32" t="str">
        <f t="shared" si="0"/>
        <v/>
      </c>
      <c r="B19" s="39"/>
      <c r="C19" s="39"/>
      <c r="D19" s="39"/>
      <c r="E19" s="39"/>
      <c r="F19" s="39"/>
      <c r="G19" s="39"/>
      <c r="H19" s="39"/>
      <c r="I19" s="40"/>
      <c r="J19" s="39"/>
      <c r="K19" s="23"/>
      <c r="L19" s="23"/>
      <c r="M19" s="23"/>
      <c r="N19" s="23"/>
      <c r="O19" s="23"/>
      <c r="P19" s="23"/>
      <c r="Q19" s="23"/>
      <c r="R19" s="23"/>
      <c r="S19" s="23"/>
      <c r="T19" s="23"/>
      <c r="U19" s="23"/>
      <c r="V19" s="23"/>
      <c r="W19" s="23"/>
      <c r="X19" s="23"/>
      <c r="Y19" s="23"/>
      <c r="Z19" s="23"/>
      <c r="AA19" s="23"/>
      <c r="AB19" s="23"/>
      <c r="AC19" s="23"/>
      <c r="AD19" s="23"/>
      <c r="AE19" s="23"/>
      <c r="AF19" s="23"/>
      <c r="AG19" s="23"/>
    </row>
    <row r="20" spans="1:33" x14ac:dyDescent="0.25">
      <c r="A20" s="32" t="str">
        <f t="shared" si="0"/>
        <v/>
      </c>
      <c r="B20" s="39"/>
      <c r="C20" s="39"/>
      <c r="D20" s="39"/>
      <c r="E20" s="39"/>
      <c r="F20" s="39"/>
      <c r="G20" s="39"/>
      <c r="H20" s="39"/>
      <c r="I20" s="40"/>
      <c r="J20" s="39"/>
      <c r="K20" s="23"/>
      <c r="L20" s="23"/>
      <c r="M20" s="23"/>
      <c r="N20" s="23"/>
      <c r="O20" s="23"/>
      <c r="P20" s="23"/>
      <c r="Q20" s="23"/>
      <c r="R20" s="23"/>
      <c r="S20" s="23"/>
      <c r="T20" s="23"/>
      <c r="U20" s="23"/>
      <c r="V20" s="23"/>
      <c r="W20" s="23"/>
      <c r="X20" s="23"/>
      <c r="Y20" s="23"/>
      <c r="Z20" s="23"/>
      <c r="AA20" s="23"/>
      <c r="AB20" s="23"/>
      <c r="AC20" s="23"/>
      <c r="AD20" s="23"/>
      <c r="AE20" s="23"/>
      <c r="AF20" s="23"/>
      <c r="AG20" s="23"/>
    </row>
    <row r="21" spans="1:33" x14ac:dyDescent="0.25">
      <c r="A21" s="32" t="str">
        <f t="shared" si="0"/>
        <v/>
      </c>
      <c r="B21" s="39"/>
      <c r="C21" s="39"/>
      <c r="D21" s="39"/>
      <c r="E21" s="39"/>
      <c r="F21" s="39"/>
      <c r="G21" s="39"/>
      <c r="H21" s="39"/>
      <c r="I21" s="40"/>
      <c r="J21" s="39"/>
      <c r="K21" s="23"/>
      <c r="L21" s="23"/>
      <c r="M21" s="23"/>
      <c r="N21" s="23"/>
      <c r="O21" s="23"/>
      <c r="P21" s="23"/>
      <c r="Q21" s="23"/>
      <c r="R21" s="23"/>
      <c r="S21" s="23"/>
      <c r="T21" s="23"/>
      <c r="U21" s="23"/>
      <c r="V21" s="23"/>
      <c r="W21" s="23"/>
      <c r="X21" s="23"/>
      <c r="Y21" s="23"/>
      <c r="Z21" s="23"/>
      <c r="AA21" s="23"/>
      <c r="AB21" s="23"/>
      <c r="AC21" s="23"/>
      <c r="AD21" s="23"/>
      <c r="AE21" s="23"/>
      <c r="AF21" s="23"/>
      <c r="AG21" s="23"/>
    </row>
    <row r="22" spans="1:33" x14ac:dyDescent="0.25">
      <c r="A22" s="32" t="str">
        <f t="shared" si="0"/>
        <v/>
      </c>
      <c r="B22" s="39"/>
      <c r="C22" s="39"/>
      <c r="D22" s="39"/>
      <c r="E22" s="39"/>
      <c r="F22" s="39"/>
      <c r="G22" s="39"/>
      <c r="H22" s="39"/>
      <c r="I22" s="40"/>
      <c r="J22" s="39"/>
      <c r="K22" s="23"/>
      <c r="L22" s="23"/>
      <c r="M22" s="23"/>
      <c r="N22" s="23"/>
      <c r="O22" s="23"/>
      <c r="P22" s="23"/>
      <c r="Q22" s="23"/>
      <c r="R22" s="23"/>
      <c r="S22" s="23"/>
      <c r="T22" s="23"/>
      <c r="U22" s="23"/>
      <c r="V22" s="23"/>
      <c r="W22" s="23"/>
      <c r="X22" s="23"/>
      <c r="Y22" s="23"/>
      <c r="Z22" s="23"/>
      <c r="AA22" s="23"/>
      <c r="AB22" s="23"/>
      <c r="AC22" s="23"/>
      <c r="AD22" s="23"/>
      <c r="AE22" s="23"/>
      <c r="AF22" s="23"/>
      <c r="AG22" s="23"/>
    </row>
    <row r="23" spans="1:33" x14ac:dyDescent="0.25">
      <c r="A23" s="32" t="str">
        <f t="shared" si="0"/>
        <v/>
      </c>
      <c r="B23" s="39"/>
      <c r="C23" s="39"/>
      <c r="D23" s="39"/>
      <c r="E23" s="39"/>
      <c r="F23" s="39"/>
      <c r="G23" s="39"/>
      <c r="H23" s="39"/>
      <c r="I23" s="40"/>
      <c r="J23" s="39"/>
      <c r="K23" s="23"/>
      <c r="L23" s="23"/>
      <c r="M23" s="23"/>
      <c r="N23" s="23"/>
      <c r="O23" s="23"/>
      <c r="P23" s="23"/>
      <c r="Q23" s="23"/>
      <c r="R23" s="23"/>
      <c r="S23" s="23"/>
      <c r="T23" s="23"/>
      <c r="U23" s="23"/>
      <c r="V23" s="23"/>
      <c r="W23" s="23"/>
      <c r="X23" s="23"/>
      <c r="Y23" s="23"/>
      <c r="Z23" s="23"/>
      <c r="AA23" s="23"/>
      <c r="AB23" s="23"/>
      <c r="AC23" s="23"/>
      <c r="AD23" s="23"/>
      <c r="AE23" s="23"/>
      <c r="AF23" s="23"/>
      <c r="AG23" s="23"/>
    </row>
    <row r="24" spans="1:33" x14ac:dyDescent="0.25">
      <c r="A24" s="32" t="str">
        <f t="shared" si="0"/>
        <v/>
      </c>
      <c r="B24" s="39"/>
      <c r="C24" s="39"/>
      <c r="D24" s="39"/>
      <c r="E24" s="39"/>
      <c r="F24" s="39"/>
      <c r="G24" s="39"/>
      <c r="H24" s="39"/>
      <c r="I24" s="40"/>
      <c r="J24" s="39"/>
      <c r="K24" s="23"/>
      <c r="L24" s="23"/>
      <c r="M24" s="23"/>
      <c r="N24" s="23"/>
      <c r="O24" s="23"/>
      <c r="P24" s="23"/>
      <c r="Q24" s="23"/>
      <c r="R24" s="23"/>
      <c r="S24" s="23"/>
      <c r="T24" s="23"/>
      <c r="U24" s="23"/>
      <c r="V24" s="23"/>
      <c r="W24" s="23"/>
      <c r="X24" s="23"/>
      <c r="Y24" s="23"/>
      <c r="Z24" s="23"/>
      <c r="AA24" s="23"/>
      <c r="AB24" s="23"/>
      <c r="AC24" s="23"/>
      <c r="AD24" s="23"/>
      <c r="AE24" s="23"/>
      <c r="AF24" s="23"/>
      <c r="AG24" s="23"/>
    </row>
    <row r="25" spans="1:33" x14ac:dyDescent="0.25">
      <c r="A25" s="32" t="str">
        <f t="shared" si="0"/>
        <v/>
      </c>
      <c r="B25" s="39"/>
      <c r="C25" s="39"/>
      <c r="D25" s="39"/>
      <c r="E25" s="39"/>
      <c r="F25" s="39"/>
      <c r="G25" s="39"/>
      <c r="H25" s="39"/>
      <c r="I25" s="40"/>
      <c r="J25" s="39"/>
      <c r="K25" s="23"/>
      <c r="L25" s="23"/>
      <c r="M25" s="23"/>
      <c r="N25" s="23"/>
      <c r="O25" s="23"/>
      <c r="P25" s="23"/>
      <c r="Q25" s="23"/>
      <c r="R25" s="23"/>
      <c r="S25" s="23"/>
      <c r="T25" s="23"/>
      <c r="U25" s="23"/>
      <c r="V25" s="23"/>
      <c r="W25" s="23"/>
      <c r="X25" s="23"/>
      <c r="Y25" s="23"/>
      <c r="Z25" s="23"/>
      <c r="AA25" s="23"/>
      <c r="AB25" s="23"/>
      <c r="AC25" s="23"/>
      <c r="AD25" s="23"/>
      <c r="AE25" s="23"/>
      <c r="AF25" s="23"/>
      <c r="AG25" s="23"/>
    </row>
    <row r="26" spans="1:33" x14ac:dyDescent="0.25">
      <c r="A26" s="32" t="str">
        <f t="shared" si="0"/>
        <v/>
      </c>
      <c r="B26" s="39"/>
      <c r="C26" s="39"/>
      <c r="D26" s="39"/>
      <c r="E26" s="39"/>
      <c r="F26" s="39"/>
      <c r="G26" s="39"/>
      <c r="H26" s="39"/>
      <c r="I26" s="40"/>
      <c r="J26" s="39"/>
      <c r="K26" s="23"/>
      <c r="L26" s="23"/>
      <c r="M26" s="23"/>
      <c r="N26" s="23"/>
      <c r="O26" s="23"/>
      <c r="P26" s="23"/>
      <c r="Q26" s="23"/>
      <c r="R26" s="23"/>
      <c r="S26" s="23"/>
      <c r="T26" s="23"/>
      <c r="U26" s="23"/>
      <c r="V26" s="23"/>
      <c r="W26" s="23"/>
      <c r="X26" s="23"/>
      <c r="Y26" s="23"/>
      <c r="Z26" s="23"/>
      <c r="AA26" s="23"/>
      <c r="AB26" s="23"/>
      <c r="AC26" s="23"/>
      <c r="AD26" s="23"/>
      <c r="AE26" s="23"/>
      <c r="AF26" s="23"/>
      <c r="AG26" s="23"/>
    </row>
    <row r="27" spans="1:33" x14ac:dyDescent="0.25">
      <c r="A27" s="32" t="str">
        <f t="shared" si="0"/>
        <v/>
      </c>
      <c r="B27" s="39"/>
      <c r="C27" s="39"/>
      <c r="D27" s="39"/>
      <c r="E27" s="39"/>
      <c r="F27" s="39"/>
      <c r="G27" s="39"/>
      <c r="H27" s="39"/>
      <c r="I27" s="40"/>
      <c r="J27" s="39"/>
      <c r="K27" s="23"/>
      <c r="L27" s="23"/>
      <c r="M27" s="23"/>
      <c r="N27" s="23"/>
      <c r="O27" s="23"/>
      <c r="P27" s="23"/>
      <c r="Q27" s="23"/>
      <c r="R27" s="23"/>
      <c r="S27" s="23"/>
      <c r="T27" s="23"/>
      <c r="U27" s="23"/>
      <c r="V27" s="23"/>
      <c r="W27" s="23"/>
      <c r="X27" s="23"/>
      <c r="Y27" s="23"/>
      <c r="Z27" s="23"/>
      <c r="AA27" s="23"/>
      <c r="AB27" s="23"/>
      <c r="AC27" s="23"/>
      <c r="AD27" s="23"/>
      <c r="AE27" s="23"/>
      <c r="AF27" s="23"/>
      <c r="AG27" s="23"/>
    </row>
    <row r="28" spans="1:33" x14ac:dyDescent="0.25">
      <c r="A28" s="32" t="str">
        <f t="shared" si="0"/>
        <v/>
      </c>
      <c r="B28" s="39"/>
      <c r="C28" s="39"/>
      <c r="D28" s="39"/>
      <c r="E28" s="39"/>
      <c r="F28" s="39"/>
      <c r="G28" s="39"/>
      <c r="H28" s="39"/>
      <c r="I28" s="40"/>
      <c r="J28" s="39"/>
      <c r="K28" s="23"/>
      <c r="L28" s="23"/>
      <c r="M28" s="23"/>
      <c r="N28" s="23"/>
      <c r="O28" s="23"/>
      <c r="P28" s="23"/>
      <c r="Q28" s="23"/>
      <c r="R28" s="23"/>
      <c r="S28" s="23"/>
      <c r="T28" s="23"/>
      <c r="U28" s="23"/>
      <c r="V28" s="23"/>
      <c r="W28" s="23"/>
      <c r="X28" s="23"/>
      <c r="Y28" s="23"/>
      <c r="Z28" s="23"/>
      <c r="AA28" s="23"/>
      <c r="AB28" s="23"/>
      <c r="AC28" s="23"/>
      <c r="AD28" s="23"/>
      <c r="AE28" s="23"/>
      <c r="AF28" s="23"/>
      <c r="AG28" s="23"/>
    </row>
  </sheetData>
  <mergeCells count="2">
    <mergeCell ref="L4:AE4"/>
    <mergeCell ref="L16:AE16"/>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F26"/>
  <sheetViews>
    <sheetView showGridLines="0" workbookViewId="0">
      <selection activeCell="L26" sqref="L26"/>
    </sheetView>
  </sheetViews>
  <sheetFormatPr defaultRowHeight="15.75" x14ac:dyDescent="0.25"/>
  <cols>
    <col min="1" max="1" width="7.875" bestFit="1" customWidth="1"/>
    <col min="2" max="3" width="10" bestFit="1" customWidth="1"/>
    <col min="4" max="4" width="19" bestFit="1" customWidth="1"/>
    <col min="5" max="5" width="8.375" bestFit="1" customWidth="1"/>
    <col min="6" max="6" width="5.375" bestFit="1" customWidth="1"/>
    <col min="7" max="7" width="5.875" bestFit="1" customWidth="1"/>
    <col min="8" max="8" width="11.875" bestFit="1" customWidth="1"/>
    <col min="9" max="9" width="11.875" customWidth="1"/>
    <col min="10" max="10" width="12.125" bestFit="1" customWidth="1"/>
    <col min="11" max="11" width="3.75" customWidth="1"/>
    <col min="12" max="31" width="3.625" customWidth="1"/>
    <col min="32" max="32" width="3" customWidth="1"/>
  </cols>
  <sheetData>
    <row r="1" spans="1:32" x14ac:dyDescent="0.25">
      <c r="A1" s="68" t="s">
        <v>38</v>
      </c>
      <c r="B1" s="69" t="s">
        <v>39</v>
      </c>
      <c r="C1" s="69" t="s">
        <v>40</v>
      </c>
      <c r="D1" s="69" t="s">
        <v>41</v>
      </c>
      <c r="E1" s="68" t="s">
        <v>42</v>
      </c>
      <c r="F1" s="68" t="s">
        <v>43</v>
      </c>
      <c r="G1" s="68" t="s">
        <v>44</v>
      </c>
      <c r="H1" s="68" t="s">
        <v>45</v>
      </c>
      <c r="I1" s="68" t="s">
        <v>46</v>
      </c>
      <c r="J1" s="68" t="s">
        <v>47</v>
      </c>
      <c r="K1" s="23"/>
      <c r="L1" s="29"/>
      <c r="M1" s="30"/>
      <c r="N1" s="30"/>
      <c r="O1" s="30"/>
      <c r="P1" s="30"/>
      <c r="Q1" s="30"/>
      <c r="R1" s="30"/>
      <c r="S1" s="30"/>
      <c r="T1" s="30"/>
      <c r="U1" s="30"/>
      <c r="V1" s="30"/>
      <c r="W1" s="30"/>
      <c r="X1" s="30"/>
      <c r="Y1" s="30"/>
      <c r="Z1" s="30"/>
      <c r="AA1" s="30"/>
      <c r="AB1" s="30"/>
      <c r="AC1" s="30"/>
      <c r="AD1" s="30"/>
      <c r="AE1" s="31"/>
      <c r="AF1" s="23"/>
    </row>
    <row r="2" spans="1:32" x14ac:dyDescent="0.25">
      <c r="A2" s="32">
        <v>1</v>
      </c>
      <c r="B2" s="33" t="s">
        <v>48</v>
      </c>
      <c r="C2" s="34" t="s">
        <v>49</v>
      </c>
      <c r="D2" s="34" t="s">
        <v>50</v>
      </c>
      <c r="E2" s="34" t="s">
        <v>51</v>
      </c>
      <c r="F2" s="35" t="s">
        <v>52</v>
      </c>
      <c r="G2" s="35">
        <v>30062</v>
      </c>
      <c r="H2" s="33" t="s">
        <v>53</v>
      </c>
      <c r="I2" s="37" t="s">
        <v>54</v>
      </c>
      <c r="J2" s="70">
        <v>157665</v>
      </c>
      <c r="K2" s="23"/>
      <c r="L2" s="300" t="s">
        <v>55</v>
      </c>
      <c r="M2" s="301"/>
      <c r="N2" s="301"/>
      <c r="O2" s="301"/>
      <c r="P2" s="301"/>
      <c r="Q2" s="301"/>
      <c r="R2" s="301"/>
      <c r="S2" s="301"/>
      <c r="T2" s="301"/>
      <c r="U2" s="301"/>
      <c r="V2" s="301"/>
      <c r="W2" s="301"/>
      <c r="X2" s="301"/>
      <c r="Y2" s="301"/>
      <c r="Z2" s="301"/>
      <c r="AA2" s="301"/>
      <c r="AB2" s="301"/>
      <c r="AC2" s="301"/>
      <c r="AD2" s="301"/>
      <c r="AE2" s="302"/>
      <c r="AF2" s="23"/>
    </row>
    <row r="3" spans="1:32" x14ac:dyDescent="0.25">
      <c r="A3" s="32">
        <v>2</v>
      </c>
      <c r="B3" s="39" t="s">
        <v>56</v>
      </c>
      <c r="C3" s="39" t="s">
        <v>57</v>
      </c>
      <c r="D3" s="39" t="s">
        <v>58</v>
      </c>
      <c r="E3" s="39" t="s">
        <v>51</v>
      </c>
      <c r="F3" s="40" t="s">
        <v>52</v>
      </c>
      <c r="G3" s="40">
        <v>30063</v>
      </c>
      <c r="H3" s="42" t="s">
        <v>59</v>
      </c>
      <c r="I3" s="43" t="s">
        <v>60</v>
      </c>
      <c r="J3" s="71">
        <v>156340</v>
      </c>
      <c r="K3" s="23"/>
      <c r="L3" s="45"/>
      <c r="M3" s="46"/>
      <c r="N3" s="46"/>
      <c r="O3" s="46"/>
      <c r="P3" s="46"/>
      <c r="Q3" s="46"/>
      <c r="R3" s="46"/>
      <c r="S3" s="46"/>
      <c r="T3" s="46"/>
      <c r="U3" s="46"/>
      <c r="V3" s="46"/>
      <c r="W3" s="46"/>
      <c r="X3" s="46"/>
      <c r="Y3" s="46"/>
      <c r="Z3" s="46"/>
      <c r="AA3" s="46"/>
      <c r="AB3" s="46"/>
      <c r="AC3" s="46"/>
      <c r="AD3" s="46"/>
      <c r="AE3" s="47"/>
      <c r="AF3" s="23"/>
    </row>
    <row r="4" spans="1:32" x14ac:dyDescent="0.25">
      <c r="A4" s="32">
        <v>3</v>
      </c>
      <c r="B4" s="39" t="s">
        <v>61</v>
      </c>
      <c r="C4" s="42" t="s">
        <v>62</v>
      </c>
      <c r="D4" s="39" t="s">
        <v>63</v>
      </c>
      <c r="E4" s="39" t="s">
        <v>51</v>
      </c>
      <c r="F4" s="40" t="s">
        <v>52</v>
      </c>
      <c r="G4" s="40">
        <v>30064</v>
      </c>
      <c r="H4" s="42" t="s">
        <v>64</v>
      </c>
      <c r="I4" s="43" t="s">
        <v>65</v>
      </c>
      <c r="J4" s="71">
        <v>81480</v>
      </c>
      <c r="K4" s="23"/>
      <c r="L4" s="45"/>
      <c r="M4" s="48" t="s">
        <v>39</v>
      </c>
      <c r="N4" s="46"/>
      <c r="O4" s="46"/>
      <c r="P4" s="49" t="str">
        <f>INDEX(B:B, COUNTA(B:B), 1)</f>
        <v>Cook</v>
      </c>
      <c r="Q4" s="50"/>
      <c r="R4" s="50"/>
      <c r="S4" s="50"/>
      <c r="T4" s="50"/>
      <c r="U4" s="51"/>
      <c r="V4" s="46"/>
      <c r="W4" s="52" t="s">
        <v>42</v>
      </c>
      <c r="X4" s="46"/>
      <c r="Y4" s="49" t="str">
        <f>INDEX(E:E, COUNTA(E:E), 1)</f>
        <v>Dallas</v>
      </c>
      <c r="Z4" s="50"/>
      <c r="AA4" s="50"/>
      <c r="AB4" s="50"/>
      <c r="AC4" s="50"/>
      <c r="AD4" s="51"/>
      <c r="AE4" s="47"/>
      <c r="AF4" s="23"/>
    </row>
    <row r="5" spans="1:32" x14ac:dyDescent="0.25">
      <c r="A5" s="32">
        <v>4</v>
      </c>
      <c r="B5" s="39" t="s">
        <v>66</v>
      </c>
      <c r="C5" s="42" t="s">
        <v>67</v>
      </c>
      <c r="D5" s="39" t="s">
        <v>68</v>
      </c>
      <c r="E5" s="39" t="s">
        <v>51</v>
      </c>
      <c r="F5" s="40" t="s">
        <v>52</v>
      </c>
      <c r="G5" s="40">
        <v>30065</v>
      </c>
      <c r="H5" s="42" t="s">
        <v>69</v>
      </c>
      <c r="I5" s="43" t="s">
        <v>54</v>
      </c>
      <c r="J5" s="71">
        <v>202578</v>
      </c>
      <c r="K5" s="23"/>
      <c r="L5" s="45"/>
      <c r="M5" s="46"/>
      <c r="N5" s="46"/>
      <c r="O5" s="46"/>
      <c r="P5" s="46"/>
      <c r="Q5" s="46"/>
      <c r="R5" s="46"/>
      <c r="S5" s="46"/>
      <c r="T5" s="46"/>
      <c r="U5" s="46"/>
      <c r="V5" s="46"/>
      <c r="W5" s="46"/>
      <c r="X5" s="46"/>
      <c r="Y5" s="46"/>
      <c r="Z5" s="46"/>
      <c r="AA5" s="46"/>
      <c r="AB5" s="46"/>
      <c r="AC5" s="46"/>
      <c r="AD5" s="46"/>
      <c r="AE5" s="47"/>
      <c r="AF5" s="23"/>
    </row>
    <row r="6" spans="1:32" x14ac:dyDescent="0.25">
      <c r="A6" s="32">
        <v>5</v>
      </c>
      <c r="B6" s="42" t="s">
        <v>70</v>
      </c>
      <c r="C6" s="39" t="s">
        <v>71</v>
      </c>
      <c r="D6" s="39" t="s">
        <v>72</v>
      </c>
      <c r="E6" s="39" t="s">
        <v>51</v>
      </c>
      <c r="F6" s="40" t="s">
        <v>52</v>
      </c>
      <c r="G6" s="40">
        <v>30066</v>
      </c>
      <c r="H6" s="42" t="s">
        <v>73</v>
      </c>
      <c r="I6" s="43" t="s">
        <v>60</v>
      </c>
      <c r="J6" s="71">
        <v>177209</v>
      </c>
      <c r="K6" s="23"/>
      <c r="L6" s="45"/>
      <c r="M6" s="48" t="s">
        <v>40</v>
      </c>
      <c r="N6" s="46"/>
      <c r="O6" s="46"/>
      <c r="P6" s="49" t="str">
        <f>INDEX(C:C, COUNTA(C:C), 1)</f>
        <v>Rich</v>
      </c>
      <c r="Q6" s="50"/>
      <c r="R6" s="50"/>
      <c r="S6" s="50"/>
      <c r="T6" s="50"/>
      <c r="U6" s="51"/>
      <c r="V6" s="46"/>
      <c r="W6" s="52" t="s">
        <v>43</v>
      </c>
      <c r="X6" s="46"/>
      <c r="Y6" s="49" t="str">
        <f>INDEX(F:F, COUNTA(F:F), 1)</f>
        <v>TX</v>
      </c>
      <c r="Z6" s="50"/>
      <c r="AA6" s="50"/>
      <c r="AB6" s="50"/>
      <c r="AC6" s="50"/>
      <c r="AD6" s="51"/>
      <c r="AE6" s="47"/>
      <c r="AF6" s="23"/>
    </row>
    <row r="7" spans="1:32" x14ac:dyDescent="0.25">
      <c r="A7" s="32">
        <v>6</v>
      </c>
      <c r="B7" s="39" t="s">
        <v>74</v>
      </c>
      <c r="C7" s="39" t="s">
        <v>75</v>
      </c>
      <c r="D7" s="39" t="s">
        <v>76</v>
      </c>
      <c r="E7" s="39" t="s">
        <v>77</v>
      </c>
      <c r="F7" s="40" t="s">
        <v>52</v>
      </c>
      <c r="G7" s="40">
        <v>30092</v>
      </c>
      <c r="H7" s="42" t="s">
        <v>78</v>
      </c>
      <c r="I7" s="43" t="s">
        <v>65</v>
      </c>
      <c r="J7" s="71">
        <v>212254.23</v>
      </c>
      <c r="K7" s="23"/>
      <c r="L7" s="45"/>
      <c r="M7" s="46"/>
      <c r="N7" s="46"/>
      <c r="O7" s="46"/>
      <c r="P7" s="46"/>
      <c r="Q7" s="46"/>
      <c r="R7" s="46"/>
      <c r="S7" s="46"/>
      <c r="T7" s="46"/>
      <c r="U7" s="46"/>
      <c r="V7" s="46"/>
      <c r="W7" s="46"/>
      <c r="X7" s="46"/>
      <c r="Y7" s="46"/>
      <c r="Z7" s="46"/>
      <c r="AA7" s="46"/>
      <c r="AB7" s="46"/>
      <c r="AC7" s="46"/>
      <c r="AD7" s="46"/>
      <c r="AE7" s="47"/>
      <c r="AF7" s="23"/>
    </row>
    <row r="8" spans="1:32" x14ac:dyDescent="0.25">
      <c r="A8" s="32">
        <v>7</v>
      </c>
      <c r="B8" s="39" t="s">
        <v>79</v>
      </c>
      <c r="C8" s="39" t="s">
        <v>80</v>
      </c>
      <c r="D8" s="39" t="s">
        <v>50</v>
      </c>
      <c r="E8" s="39" t="s">
        <v>81</v>
      </c>
      <c r="F8" s="40" t="s">
        <v>82</v>
      </c>
      <c r="G8" s="40">
        <v>30092</v>
      </c>
      <c r="H8" s="42" t="s">
        <v>53</v>
      </c>
      <c r="I8" s="43" t="s">
        <v>54</v>
      </c>
      <c r="J8" s="71">
        <v>124533.45</v>
      </c>
      <c r="K8" s="23"/>
      <c r="L8" s="45"/>
      <c r="M8" s="48" t="s">
        <v>41</v>
      </c>
      <c r="N8" s="46"/>
      <c r="O8" s="46"/>
      <c r="P8" s="49" t="str">
        <f>INDEX(D:D, COUNTA(D:D), 1)</f>
        <v>123 Main</v>
      </c>
      <c r="Q8" s="50"/>
      <c r="R8" s="50"/>
      <c r="S8" s="50"/>
      <c r="T8" s="50"/>
      <c r="U8" s="51"/>
      <c r="V8" s="46"/>
      <c r="W8" s="52" t="s">
        <v>44</v>
      </c>
      <c r="X8" s="46"/>
      <c r="Y8" s="306">
        <f>INDEX(G:G, COUNTA(G:G), 1)</f>
        <v>75201</v>
      </c>
      <c r="Z8" s="307"/>
      <c r="AA8" s="50"/>
      <c r="AB8" s="50"/>
      <c r="AC8" s="50"/>
      <c r="AD8" s="51"/>
      <c r="AE8" s="47"/>
      <c r="AF8" s="23"/>
    </row>
    <row r="9" spans="1:32" x14ac:dyDescent="0.25">
      <c r="A9" s="32">
        <v>8</v>
      </c>
      <c r="B9" s="39" t="s">
        <v>92</v>
      </c>
      <c r="C9" s="39" t="s">
        <v>93</v>
      </c>
      <c r="D9" s="39" t="s">
        <v>94</v>
      </c>
      <c r="E9" s="39" t="s">
        <v>95</v>
      </c>
      <c r="F9" s="40" t="s">
        <v>96</v>
      </c>
      <c r="G9" s="39">
        <v>75201</v>
      </c>
      <c r="H9" s="39" t="s">
        <v>97</v>
      </c>
      <c r="I9" s="40" t="s">
        <v>98</v>
      </c>
      <c r="J9" s="72">
        <v>999999.99</v>
      </c>
      <c r="K9" s="23"/>
      <c r="L9" s="45"/>
      <c r="M9" s="46"/>
      <c r="N9" s="46"/>
      <c r="O9" s="46"/>
      <c r="P9" s="46"/>
      <c r="Q9" s="46"/>
      <c r="R9" s="46"/>
      <c r="S9" s="46"/>
      <c r="T9" s="46"/>
      <c r="U9" s="46"/>
      <c r="V9" s="46"/>
      <c r="W9" s="46"/>
      <c r="X9" s="46"/>
      <c r="Y9" s="46"/>
      <c r="Z9" s="46"/>
      <c r="AA9" s="46"/>
      <c r="AB9" s="46"/>
      <c r="AC9" s="46"/>
      <c r="AD9" s="46"/>
      <c r="AE9" s="47"/>
      <c r="AF9" s="23"/>
    </row>
    <row r="10" spans="1:32" x14ac:dyDescent="0.25">
      <c r="A10" s="32">
        <v>9</v>
      </c>
      <c r="B10" s="39"/>
      <c r="C10" s="39"/>
      <c r="D10" s="39"/>
      <c r="E10" s="39"/>
      <c r="F10" s="40"/>
      <c r="G10" s="39"/>
      <c r="H10" s="39"/>
      <c r="I10" s="40"/>
      <c r="J10" s="72"/>
      <c r="K10" s="23"/>
      <c r="L10" s="45"/>
      <c r="M10" s="52" t="s">
        <v>45</v>
      </c>
      <c r="N10" s="46"/>
      <c r="O10" s="46"/>
      <c r="P10" s="49" t="str">
        <f>INDEX(H:H, COUNTA(H:H), 1)</f>
        <v>972.972.9729</v>
      </c>
      <c r="Q10" s="50"/>
      <c r="R10" s="50"/>
      <c r="S10" s="50"/>
      <c r="T10" s="50"/>
      <c r="U10" s="51"/>
      <c r="V10" s="46"/>
      <c r="W10" s="60" t="s">
        <v>99</v>
      </c>
      <c r="X10" s="46"/>
      <c r="Y10" s="49" t="str">
        <f>INDEX(I:I, COUNTA(I:I), 1)</f>
        <v>Plan D</v>
      </c>
      <c r="Z10" s="50"/>
      <c r="AA10" s="50"/>
      <c r="AB10" s="50"/>
      <c r="AC10" s="50"/>
      <c r="AD10" s="51"/>
      <c r="AE10" s="47"/>
      <c r="AF10" s="23"/>
    </row>
    <row r="11" spans="1:32" x14ac:dyDescent="0.25">
      <c r="A11" s="32">
        <v>10</v>
      </c>
      <c r="B11" s="39"/>
      <c r="C11" s="39"/>
      <c r="D11" s="39"/>
      <c r="E11" s="39"/>
      <c r="F11" s="40"/>
      <c r="G11" s="39"/>
      <c r="H11" s="39"/>
      <c r="I11" s="40"/>
      <c r="J11" s="72"/>
      <c r="K11" s="23"/>
      <c r="L11" s="45"/>
      <c r="M11" s="46"/>
      <c r="N11" s="46"/>
      <c r="O11" s="46"/>
      <c r="P11" s="46"/>
      <c r="Q11" s="46"/>
      <c r="R11" s="46"/>
      <c r="S11" s="46"/>
      <c r="T11" s="46"/>
      <c r="U11" s="46"/>
      <c r="V11" s="46"/>
      <c r="W11" s="46"/>
      <c r="X11" s="46"/>
      <c r="Y11" s="46"/>
      <c r="Z11" s="46"/>
      <c r="AA11" s="46"/>
      <c r="AB11" s="46"/>
      <c r="AC11" s="46"/>
      <c r="AD11" s="46"/>
      <c r="AE11" s="47"/>
      <c r="AF11" s="23"/>
    </row>
    <row r="12" spans="1:32" x14ac:dyDescent="0.25">
      <c r="A12" s="32">
        <v>11</v>
      </c>
      <c r="B12" s="39"/>
      <c r="C12" s="39"/>
      <c r="D12" s="39"/>
      <c r="E12" s="39"/>
      <c r="F12" s="40"/>
      <c r="G12" s="39"/>
      <c r="H12" s="39"/>
      <c r="I12" s="40"/>
      <c r="J12" s="72"/>
      <c r="K12" s="23"/>
      <c r="L12" s="45"/>
      <c r="M12" s="52" t="s">
        <v>90</v>
      </c>
      <c r="N12" s="46"/>
      <c r="O12" s="46"/>
      <c r="P12" s="46"/>
      <c r="Q12" s="46"/>
      <c r="R12" s="46"/>
      <c r="S12" s="46"/>
      <c r="T12" s="46"/>
      <c r="U12" s="46"/>
      <c r="V12" s="46"/>
      <c r="W12" s="46"/>
      <c r="X12" s="46"/>
      <c r="Y12" s="308">
        <f>INDEX(J:J, COUNTA(J:J), 1)</f>
        <v>999999.99</v>
      </c>
      <c r="Z12" s="309"/>
      <c r="AA12" s="309"/>
      <c r="AB12" s="310"/>
      <c r="AC12" s="50"/>
      <c r="AD12" s="51"/>
      <c r="AE12" s="47"/>
      <c r="AF12" s="23"/>
    </row>
    <row r="13" spans="1:32" x14ac:dyDescent="0.25">
      <c r="A13" s="32">
        <v>12</v>
      </c>
      <c r="B13" s="39"/>
      <c r="C13" s="39"/>
      <c r="D13" s="39"/>
      <c r="E13" s="39"/>
      <c r="F13" s="40"/>
      <c r="G13" s="39"/>
      <c r="H13" s="39"/>
      <c r="I13" s="40"/>
      <c r="J13" s="72"/>
      <c r="K13" s="23"/>
      <c r="L13" s="45"/>
      <c r="M13" s="46"/>
      <c r="N13" s="46"/>
      <c r="O13" s="46"/>
      <c r="P13" s="46"/>
      <c r="Q13" s="46"/>
      <c r="R13" s="46"/>
      <c r="S13" s="46"/>
      <c r="T13" s="46"/>
      <c r="U13" s="46"/>
      <c r="V13" s="46"/>
      <c r="W13" s="46"/>
      <c r="X13" s="46"/>
      <c r="Y13" s="46"/>
      <c r="Z13" s="46"/>
      <c r="AA13" s="46"/>
      <c r="AB13" s="46"/>
      <c r="AC13" s="46"/>
      <c r="AD13" s="46"/>
      <c r="AE13" s="47"/>
      <c r="AF13" s="23"/>
    </row>
    <row r="14" spans="1:32" x14ac:dyDescent="0.25">
      <c r="A14" s="32">
        <v>13</v>
      </c>
      <c r="B14" s="39"/>
      <c r="C14" s="39"/>
      <c r="D14" s="39"/>
      <c r="E14" s="39"/>
      <c r="F14" s="40"/>
      <c r="G14" s="39"/>
      <c r="H14" s="39"/>
      <c r="I14" s="40"/>
      <c r="J14" s="72"/>
      <c r="K14" s="23"/>
      <c r="L14" s="303" t="s">
        <v>91</v>
      </c>
      <c r="M14" s="304"/>
      <c r="N14" s="304"/>
      <c r="O14" s="304"/>
      <c r="P14" s="304"/>
      <c r="Q14" s="304"/>
      <c r="R14" s="304"/>
      <c r="S14" s="304"/>
      <c r="T14" s="304"/>
      <c r="U14" s="304"/>
      <c r="V14" s="304"/>
      <c r="W14" s="304"/>
      <c r="X14" s="304"/>
      <c r="Y14" s="304"/>
      <c r="Z14" s="304"/>
      <c r="AA14" s="304"/>
      <c r="AB14" s="304"/>
      <c r="AC14" s="304"/>
      <c r="AD14" s="304"/>
      <c r="AE14" s="305"/>
      <c r="AF14" s="23"/>
    </row>
    <row r="15" spans="1:32" ht="16.5" thickBot="1" x14ac:dyDescent="0.3">
      <c r="A15" s="32">
        <v>14</v>
      </c>
      <c r="B15" s="39"/>
      <c r="C15" s="39"/>
      <c r="D15" s="39"/>
      <c r="E15" s="39"/>
      <c r="F15" s="40"/>
      <c r="G15" s="39"/>
      <c r="H15" s="39"/>
      <c r="I15" s="40"/>
      <c r="J15" s="72"/>
      <c r="K15" s="23"/>
      <c r="L15" s="61"/>
      <c r="M15" s="62"/>
      <c r="N15" s="62"/>
      <c r="O15" s="62"/>
      <c r="P15" s="62"/>
      <c r="Q15" s="62"/>
      <c r="R15" s="62"/>
      <c r="S15" s="62"/>
      <c r="T15" s="62"/>
      <c r="U15" s="62"/>
      <c r="V15" s="62"/>
      <c r="W15" s="62"/>
      <c r="X15" s="62"/>
      <c r="Y15" s="62"/>
      <c r="Z15" s="62"/>
      <c r="AA15" s="62"/>
      <c r="AB15" s="62"/>
      <c r="AC15" s="62"/>
      <c r="AD15" s="62"/>
      <c r="AE15" s="63"/>
      <c r="AF15" s="23"/>
    </row>
    <row r="16" spans="1:32" x14ac:dyDescent="0.25">
      <c r="A16" s="32">
        <v>15</v>
      </c>
      <c r="B16" s="39"/>
      <c r="C16" s="39"/>
      <c r="D16" s="39"/>
      <c r="E16" s="39"/>
      <c r="F16" s="40"/>
      <c r="G16" s="39"/>
      <c r="H16" s="39"/>
      <c r="I16" s="40"/>
      <c r="J16" s="72"/>
      <c r="K16" s="23"/>
      <c r="L16" s="23"/>
      <c r="M16" s="23"/>
      <c r="N16" s="23"/>
      <c r="O16" s="23"/>
      <c r="P16" s="23"/>
      <c r="Q16" s="23"/>
      <c r="R16" s="23"/>
      <c r="S16" s="23"/>
      <c r="T16" s="23"/>
      <c r="U16" s="23"/>
      <c r="V16" s="23"/>
      <c r="W16" s="23"/>
      <c r="X16" s="23"/>
      <c r="Y16" s="23"/>
      <c r="Z16" s="23"/>
      <c r="AA16" s="23"/>
      <c r="AB16" s="23"/>
      <c r="AC16" s="23"/>
      <c r="AD16" s="23"/>
      <c r="AE16" s="23"/>
      <c r="AF16" s="23"/>
    </row>
    <row r="17" spans="1:32" x14ac:dyDescent="0.25">
      <c r="A17" s="32">
        <v>16</v>
      </c>
      <c r="B17" s="39"/>
      <c r="C17" s="39"/>
      <c r="D17" s="39"/>
      <c r="E17" s="39"/>
      <c r="F17" s="40"/>
      <c r="G17" s="39"/>
      <c r="H17" s="39"/>
      <c r="I17" s="40"/>
      <c r="J17" s="72"/>
      <c r="K17" s="23"/>
      <c r="L17" s="23"/>
      <c r="M17" s="23"/>
      <c r="N17" s="23"/>
      <c r="O17" s="23"/>
      <c r="P17" s="23"/>
      <c r="Q17" s="23"/>
      <c r="R17" s="23"/>
      <c r="S17" s="23"/>
      <c r="T17" s="23"/>
      <c r="U17" s="23"/>
      <c r="V17" s="23"/>
      <c r="W17" s="23"/>
      <c r="X17" s="23"/>
      <c r="Y17" s="23"/>
      <c r="Z17" s="23"/>
      <c r="AA17" s="23"/>
      <c r="AB17" s="23"/>
      <c r="AC17" s="23"/>
      <c r="AD17" s="23"/>
      <c r="AE17" s="23"/>
      <c r="AF17" s="23"/>
    </row>
    <row r="18" spans="1:32" x14ac:dyDescent="0.25">
      <c r="A18" s="32">
        <v>17</v>
      </c>
      <c r="B18" s="39"/>
      <c r="C18" s="39"/>
      <c r="D18" s="39"/>
      <c r="E18" s="39"/>
      <c r="F18" s="40"/>
      <c r="G18" s="39"/>
      <c r="H18" s="39"/>
      <c r="I18" s="40"/>
      <c r="J18" s="72"/>
      <c r="K18" s="23"/>
      <c r="L18" s="23"/>
      <c r="M18" s="23"/>
      <c r="N18" s="23"/>
      <c r="O18" s="23"/>
      <c r="P18" s="23"/>
      <c r="Q18" s="23"/>
      <c r="R18" s="23"/>
      <c r="S18" s="23"/>
      <c r="T18" s="23"/>
      <c r="U18" s="23"/>
      <c r="V18" s="23"/>
      <c r="W18" s="23"/>
      <c r="X18" s="23"/>
      <c r="Y18" s="23"/>
      <c r="Z18" s="23"/>
      <c r="AA18" s="23"/>
      <c r="AB18" s="23"/>
      <c r="AC18" s="23"/>
      <c r="AD18" s="23"/>
      <c r="AE18" s="23"/>
      <c r="AF18" s="23"/>
    </row>
    <row r="19" spans="1:32" x14ac:dyDescent="0.25">
      <c r="A19" s="32">
        <v>18</v>
      </c>
      <c r="B19" s="39"/>
      <c r="C19" s="39"/>
      <c r="D19" s="39"/>
      <c r="E19" s="39"/>
      <c r="F19" s="40"/>
      <c r="G19" s="39"/>
      <c r="H19" s="39"/>
      <c r="I19" s="40"/>
      <c r="J19" s="72"/>
      <c r="K19" s="23"/>
      <c r="L19" s="23"/>
      <c r="M19" s="23"/>
      <c r="N19" s="23"/>
      <c r="O19" s="23"/>
      <c r="P19" s="23"/>
      <c r="Q19" s="23"/>
      <c r="R19" s="23"/>
      <c r="S19" s="23"/>
      <c r="T19" s="23"/>
      <c r="U19" s="23"/>
      <c r="V19" s="23"/>
      <c r="W19" s="23"/>
      <c r="X19" s="23"/>
      <c r="Y19" s="23"/>
      <c r="Z19" s="23"/>
      <c r="AA19" s="23"/>
      <c r="AB19" s="23"/>
      <c r="AC19" s="23"/>
      <c r="AD19" s="23"/>
      <c r="AE19" s="23"/>
      <c r="AF19" s="23"/>
    </row>
    <row r="20" spans="1:32" x14ac:dyDescent="0.25">
      <c r="A20" s="32">
        <v>19</v>
      </c>
      <c r="B20" s="39"/>
      <c r="C20" s="39"/>
      <c r="D20" s="39"/>
      <c r="E20" s="39"/>
      <c r="F20" s="40"/>
      <c r="G20" s="39"/>
      <c r="H20" s="39"/>
      <c r="I20" s="40"/>
      <c r="J20" s="72"/>
      <c r="K20" s="23"/>
      <c r="L20" s="23"/>
      <c r="M20" s="23"/>
      <c r="N20" s="23"/>
      <c r="O20" s="23"/>
      <c r="P20" s="23"/>
      <c r="Q20" s="23"/>
      <c r="R20" s="23"/>
      <c r="S20" s="23"/>
      <c r="T20" s="23"/>
      <c r="U20" s="23"/>
      <c r="V20" s="23"/>
      <c r="W20" s="23"/>
      <c r="X20" s="23"/>
      <c r="Y20" s="23"/>
      <c r="Z20" s="23"/>
      <c r="AA20" s="23"/>
      <c r="AB20" s="23"/>
      <c r="AC20" s="23"/>
      <c r="AD20" s="23"/>
      <c r="AE20" s="23"/>
      <c r="AF20" s="23"/>
    </row>
    <row r="21" spans="1:32" x14ac:dyDescent="0.25">
      <c r="A21" s="32">
        <v>20</v>
      </c>
      <c r="B21" s="39"/>
      <c r="C21" s="39"/>
      <c r="D21" s="39"/>
      <c r="E21" s="39"/>
      <c r="F21" s="40"/>
      <c r="G21" s="39"/>
      <c r="H21" s="39"/>
      <c r="I21" s="40"/>
      <c r="J21" s="72"/>
      <c r="K21" s="23"/>
      <c r="L21" s="23"/>
      <c r="M21" s="23"/>
      <c r="N21" s="23"/>
      <c r="O21" s="23"/>
      <c r="P21" s="23"/>
      <c r="Q21" s="23"/>
      <c r="R21" s="23"/>
      <c r="S21" s="23"/>
      <c r="T21" s="23"/>
      <c r="U21" s="23"/>
      <c r="V21" s="23"/>
      <c r="W21" s="23"/>
      <c r="X21" s="23"/>
      <c r="Y21" s="23"/>
      <c r="Z21" s="23"/>
      <c r="AA21" s="23"/>
      <c r="AB21" s="23"/>
      <c r="AC21" s="23"/>
      <c r="AD21" s="23"/>
      <c r="AE21" s="23"/>
      <c r="AF21" s="23"/>
    </row>
    <row r="22" spans="1:32" x14ac:dyDescent="0.25">
      <c r="A22" s="32">
        <v>21</v>
      </c>
      <c r="B22" s="39"/>
      <c r="C22" s="39"/>
      <c r="D22" s="39"/>
      <c r="E22" s="39"/>
      <c r="F22" s="40"/>
      <c r="G22" s="39"/>
      <c r="H22" s="39"/>
      <c r="I22" s="40"/>
      <c r="J22" s="72"/>
      <c r="K22" s="23"/>
      <c r="L22" s="23"/>
      <c r="M22" s="23"/>
      <c r="N22" s="23"/>
      <c r="O22" s="23"/>
      <c r="P22" s="23"/>
      <c r="Q22" s="23"/>
      <c r="R22" s="23"/>
      <c r="S22" s="23"/>
      <c r="T22" s="23"/>
      <c r="U22" s="23"/>
      <c r="V22" s="23"/>
      <c r="W22" s="23"/>
      <c r="X22" s="23"/>
      <c r="Y22" s="23"/>
      <c r="Z22" s="23"/>
      <c r="AA22" s="23"/>
      <c r="AB22" s="23"/>
      <c r="AC22" s="23"/>
      <c r="AD22" s="23"/>
      <c r="AE22" s="23"/>
      <c r="AF22" s="23"/>
    </row>
    <row r="23" spans="1:32" x14ac:dyDescent="0.25">
      <c r="A23" s="32">
        <v>22</v>
      </c>
      <c r="B23" s="39"/>
      <c r="C23" s="39"/>
      <c r="D23" s="39"/>
      <c r="E23" s="39"/>
      <c r="F23" s="40"/>
      <c r="G23" s="39"/>
      <c r="H23" s="39"/>
      <c r="I23" s="40"/>
      <c r="J23" s="72"/>
      <c r="K23" s="23"/>
      <c r="L23" s="23"/>
      <c r="M23" s="23"/>
      <c r="N23" s="23"/>
      <c r="O23" s="23"/>
      <c r="P23" s="23"/>
      <c r="Q23" s="23"/>
      <c r="R23" s="23"/>
      <c r="S23" s="23"/>
      <c r="T23" s="23"/>
      <c r="U23" s="23"/>
      <c r="V23" s="23"/>
      <c r="W23" s="23"/>
      <c r="X23" s="23"/>
      <c r="Y23" s="23"/>
      <c r="Z23" s="23"/>
      <c r="AA23" s="23"/>
      <c r="AB23" s="23"/>
      <c r="AC23" s="23"/>
      <c r="AD23" s="23"/>
      <c r="AE23" s="23"/>
      <c r="AF23" s="23"/>
    </row>
    <row r="24" spans="1:32" x14ac:dyDescent="0.25">
      <c r="A24" s="32">
        <v>23</v>
      </c>
      <c r="B24" s="39"/>
      <c r="C24" s="39"/>
      <c r="D24" s="39"/>
      <c r="E24" s="39"/>
      <c r="F24" s="40"/>
      <c r="G24" s="39"/>
      <c r="H24" s="39"/>
      <c r="I24" s="40"/>
      <c r="J24" s="72"/>
      <c r="K24" s="23"/>
      <c r="L24" s="23"/>
      <c r="M24" s="23"/>
      <c r="N24" s="23"/>
      <c r="O24" s="23"/>
      <c r="P24" s="23"/>
      <c r="Q24" s="23"/>
      <c r="R24" s="23"/>
      <c r="S24" s="23"/>
      <c r="T24" s="23"/>
      <c r="U24" s="23"/>
      <c r="V24" s="23"/>
      <c r="W24" s="23"/>
      <c r="X24" s="23"/>
      <c r="Y24" s="23"/>
      <c r="Z24" s="23"/>
      <c r="AA24" s="23"/>
      <c r="AB24" s="23"/>
      <c r="AC24" s="23"/>
      <c r="AD24" s="23"/>
      <c r="AE24" s="23"/>
      <c r="AF24" s="23"/>
    </row>
    <row r="25" spans="1:32" x14ac:dyDescent="0.25">
      <c r="A25" s="32">
        <v>24</v>
      </c>
      <c r="B25" s="39"/>
      <c r="C25" s="39"/>
      <c r="D25" s="39"/>
      <c r="E25" s="39"/>
      <c r="F25" s="40"/>
      <c r="G25" s="39"/>
      <c r="H25" s="39"/>
      <c r="I25" s="40"/>
      <c r="J25" s="72"/>
      <c r="K25" s="23"/>
      <c r="L25" s="23"/>
      <c r="M25" s="23"/>
      <c r="N25" s="23"/>
      <c r="O25" s="23"/>
      <c r="P25" s="23"/>
      <c r="Q25" s="23"/>
      <c r="R25" s="23"/>
      <c r="S25" s="23"/>
      <c r="T25" s="23"/>
      <c r="U25" s="23"/>
      <c r="V25" s="23"/>
      <c r="W25" s="23"/>
      <c r="X25" s="23"/>
      <c r="Y25" s="23"/>
      <c r="Z25" s="23"/>
      <c r="AA25" s="23"/>
      <c r="AB25" s="23"/>
      <c r="AC25" s="23"/>
      <c r="AD25" s="23"/>
      <c r="AE25" s="23"/>
      <c r="AF25" s="23"/>
    </row>
    <row r="26" spans="1:32" x14ac:dyDescent="0.25">
      <c r="A26" s="32">
        <v>25</v>
      </c>
      <c r="B26" s="39"/>
      <c r="C26" s="39"/>
      <c r="D26" s="39"/>
      <c r="E26" s="39"/>
      <c r="F26" s="40"/>
      <c r="G26" s="39"/>
      <c r="H26" s="39"/>
      <c r="I26" s="40"/>
      <c r="J26" s="72"/>
      <c r="K26" s="23"/>
      <c r="L26" s="23"/>
      <c r="M26" s="23"/>
      <c r="N26" s="23"/>
      <c r="O26" s="23"/>
      <c r="P26" s="23"/>
      <c r="Q26" s="23"/>
      <c r="R26" s="23"/>
      <c r="S26" s="23"/>
      <c r="T26" s="23"/>
      <c r="U26" s="23"/>
      <c r="V26" s="23"/>
      <c r="W26" s="23"/>
      <c r="X26" s="23"/>
      <c r="Y26" s="23"/>
      <c r="Z26" s="23"/>
      <c r="AA26" s="23"/>
      <c r="AB26" s="23"/>
      <c r="AC26" s="23"/>
      <c r="AD26" s="23"/>
      <c r="AE26" s="23"/>
      <c r="AF26" s="23"/>
    </row>
  </sheetData>
  <mergeCells count="4">
    <mergeCell ref="L2:AE2"/>
    <mergeCell ref="Y8:Z8"/>
    <mergeCell ref="Y12:AB12"/>
    <mergeCell ref="L14:AE14"/>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G30"/>
  <sheetViews>
    <sheetView showGridLines="0" workbookViewId="0">
      <selection activeCell="P1" sqref="P1"/>
    </sheetView>
  </sheetViews>
  <sheetFormatPr defaultRowHeight="15.75" x14ac:dyDescent="0.25"/>
  <cols>
    <col min="1" max="1" width="9.625" customWidth="1"/>
    <col min="2" max="2" width="11.5" customWidth="1"/>
    <col min="3" max="3" width="11.75" customWidth="1"/>
    <col min="4" max="4" width="19" bestFit="1" customWidth="1"/>
    <col min="5" max="5" width="8.375" bestFit="1" customWidth="1"/>
    <col min="6" max="6" width="7.125" customWidth="1"/>
    <col min="7" max="7" width="5.875" bestFit="1" customWidth="1"/>
    <col min="8" max="8" width="11.875" bestFit="1" customWidth="1"/>
    <col min="9" max="9" width="13.625" customWidth="1"/>
    <col min="10" max="10" width="12.125" bestFit="1" customWidth="1"/>
    <col min="11" max="11" width="3.75" customWidth="1"/>
    <col min="12" max="22" width="3.625" customWidth="1"/>
    <col min="23" max="23" width="8.875" customWidth="1"/>
    <col min="24" max="31" width="3.625" customWidth="1"/>
    <col min="32" max="32" width="3" customWidth="1"/>
  </cols>
  <sheetData>
    <row r="1" spans="1:33" x14ac:dyDescent="0.25">
      <c r="A1" s="13" t="s">
        <v>37</v>
      </c>
      <c r="B1" s="14"/>
      <c r="C1" s="14"/>
      <c r="D1" s="14"/>
      <c r="E1" s="14"/>
      <c r="F1" s="14"/>
      <c r="G1" s="15"/>
      <c r="H1" s="14"/>
      <c r="I1" s="14"/>
      <c r="J1" s="14"/>
      <c r="K1" s="16"/>
      <c r="L1" s="16"/>
      <c r="M1" s="16"/>
      <c r="N1" s="16"/>
      <c r="O1" s="16"/>
      <c r="P1" s="16"/>
      <c r="Q1" s="16"/>
      <c r="R1" s="16"/>
      <c r="S1" s="17" t="str">
        <f t="shared" ref="S1:AB1" si="0">VLOOKUP(MAX($A$3:$A$147),$A$3:$H$147,2)</f>
        <v>Damm</v>
      </c>
      <c r="T1" s="17" t="str">
        <f t="shared" si="0"/>
        <v>Damm</v>
      </c>
      <c r="U1" s="17" t="str">
        <f t="shared" si="0"/>
        <v>Damm</v>
      </c>
      <c r="V1" s="17" t="str">
        <f t="shared" si="0"/>
        <v>Damm</v>
      </c>
      <c r="W1" s="17" t="str">
        <f t="shared" si="0"/>
        <v>Damm</v>
      </c>
      <c r="X1" s="17" t="str">
        <f t="shared" si="0"/>
        <v>Damm</v>
      </c>
      <c r="Y1" s="17" t="str">
        <f t="shared" si="0"/>
        <v>Damm</v>
      </c>
      <c r="Z1" s="17" t="str">
        <f t="shared" si="0"/>
        <v>Damm</v>
      </c>
      <c r="AA1" s="17" t="str">
        <f t="shared" si="0"/>
        <v>Damm</v>
      </c>
      <c r="AB1" s="17" t="str">
        <f t="shared" si="0"/>
        <v>Damm</v>
      </c>
      <c r="AC1" s="18"/>
      <c r="AD1" s="18"/>
      <c r="AE1" s="18"/>
      <c r="AF1" s="18"/>
      <c r="AG1" s="18"/>
    </row>
    <row r="2" spans="1:33" ht="16.5" thickBot="1" x14ac:dyDescent="0.3">
      <c r="A2" s="19"/>
      <c r="B2" s="20"/>
      <c r="C2" s="20"/>
      <c r="D2" s="20"/>
      <c r="E2" s="20"/>
      <c r="F2" s="20"/>
      <c r="G2" s="21"/>
      <c r="H2" s="20"/>
      <c r="I2" s="22"/>
      <c r="J2" s="20"/>
      <c r="K2" s="23"/>
      <c r="L2" s="23"/>
      <c r="M2" s="23"/>
      <c r="N2" s="23"/>
      <c r="O2" s="23"/>
      <c r="P2" s="23"/>
      <c r="Q2" s="23"/>
      <c r="R2" s="23"/>
      <c r="S2" s="23"/>
      <c r="T2" s="23"/>
      <c r="U2" s="23"/>
      <c r="V2" s="23"/>
      <c r="W2" s="23"/>
      <c r="X2" s="23"/>
      <c r="Y2" s="23"/>
      <c r="Z2" s="23"/>
      <c r="AA2" s="23"/>
      <c r="AB2" s="23"/>
      <c r="AC2" s="23"/>
      <c r="AD2" s="23"/>
      <c r="AE2" s="23"/>
      <c r="AF2" s="23"/>
      <c r="AG2" s="23"/>
    </row>
    <row r="3" spans="1:33" x14ac:dyDescent="0.25">
      <c r="A3" s="24" t="s">
        <v>38</v>
      </c>
      <c r="B3" s="25" t="s">
        <v>39</v>
      </c>
      <c r="C3" s="25" t="s">
        <v>40</v>
      </c>
      <c r="D3" s="25" t="s">
        <v>41</v>
      </c>
      <c r="E3" s="26" t="s">
        <v>42</v>
      </c>
      <c r="F3" s="26" t="s">
        <v>43</v>
      </c>
      <c r="G3" s="27" t="s">
        <v>44</v>
      </c>
      <c r="H3" s="26" t="s">
        <v>45</v>
      </c>
      <c r="I3" s="26" t="s">
        <v>46</v>
      </c>
      <c r="J3" s="28" t="s">
        <v>47</v>
      </c>
      <c r="K3" s="23"/>
      <c r="L3" s="29"/>
      <c r="M3" s="30"/>
      <c r="N3" s="30"/>
      <c r="O3" s="30"/>
      <c r="P3" s="30"/>
      <c r="Q3" s="30"/>
      <c r="R3" s="30"/>
      <c r="S3" s="30"/>
      <c r="T3" s="30"/>
      <c r="U3" s="30"/>
      <c r="V3" s="30"/>
      <c r="W3" s="30"/>
      <c r="X3" s="30"/>
      <c r="Y3" s="30"/>
      <c r="Z3" s="30"/>
      <c r="AA3" s="30"/>
      <c r="AB3" s="30"/>
      <c r="AC3" s="30"/>
      <c r="AD3" s="30"/>
      <c r="AE3" s="31"/>
      <c r="AF3" s="23"/>
      <c r="AG3" s="23"/>
    </row>
    <row r="4" spans="1:33" x14ac:dyDescent="0.25">
      <c r="A4" s="32">
        <f>ROW(B4)-3</f>
        <v>1</v>
      </c>
      <c r="B4" s="33" t="s">
        <v>48</v>
      </c>
      <c r="C4" s="34" t="s">
        <v>49</v>
      </c>
      <c r="D4" s="34" t="s">
        <v>50</v>
      </c>
      <c r="E4" s="34" t="s">
        <v>51</v>
      </c>
      <c r="F4" s="35" t="s">
        <v>52</v>
      </c>
      <c r="G4" s="36">
        <v>30062</v>
      </c>
      <c r="H4" s="33" t="s">
        <v>53</v>
      </c>
      <c r="I4" s="37" t="s">
        <v>54</v>
      </c>
      <c r="J4" s="38">
        <v>157665</v>
      </c>
      <c r="K4" s="23"/>
      <c r="L4" s="300" t="s">
        <v>55</v>
      </c>
      <c r="M4" s="301"/>
      <c r="N4" s="301"/>
      <c r="O4" s="301"/>
      <c r="P4" s="301"/>
      <c r="Q4" s="301"/>
      <c r="R4" s="301"/>
      <c r="S4" s="301"/>
      <c r="T4" s="301"/>
      <c r="U4" s="301"/>
      <c r="V4" s="301"/>
      <c r="W4" s="301"/>
      <c r="X4" s="301"/>
      <c r="Y4" s="301"/>
      <c r="Z4" s="301"/>
      <c r="AA4" s="301"/>
      <c r="AB4" s="301"/>
      <c r="AC4" s="301"/>
      <c r="AD4" s="301"/>
      <c r="AE4" s="302"/>
      <c r="AF4" s="23"/>
      <c r="AG4" s="23"/>
    </row>
    <row r="5" spans="1:33" x14ac:dyDescent="0.25">
      <c r="A5" s="32">
        <f t="shared" ref="A5:A10" si="1">ROW(B5)-3</f>
        <v>2</v>
      </c>
      <c r="B5" s="39" t="s">
        <v>56</v>
      </c>
      <c r="C5" s="39" t="s">
        <v>57</v>
      </c>
      <c r="D5" s="39" t="s">
        <v>58</v>
      </c>
      <c r="E5" s="39" t="s">
        <v>51</v>
      </c>
      <c r="F5" s="40" t="s">
        <v>52</v>
      </c>
      <c r="G5" s="41">
        <v>30063</v>
      </c>
      <c r="H5" s="42" t="s">
        <v>59</v>
      </c>
      <c r="I5" s="43" t="s">
        <v>60</v>
      </c>
      <c r="J5" s="44">
        <v>156340</v>
      </c>
      <c r="K5" s="23"/>
      <c r="L5" s="45"/>
      <c r="M5" s="46"/>
      <c r="N5" s="46"/>
      <c r="O5" s="46"/>
      <c r="P5" s="46"/>
      <c r="Q5" s="46"/>
      <c r="R5" s="46"/>
      <c r="S5" s="46"/>
      <c r="T5" s="46"/>
      <c r="U5" s="46"/>
      <c r="V5" s="46"/>
      <c r="W5" s="46"/>
      <c r="X5" s="46"/>
      <c r="Y5" s="46"/>
      <c r="Z5" s="46"/>
      <c r="AA5" s="46"/>
      <c r="AB5" s="46"/>
      <c r="AC5" s="46"/>
      <c r="AD5" s="46"/>
      <c r="AE5" s="47"/>
      <c r="AF5" s="23"/>
      <c r="AG5" s="23"/>
    </row>
    <row r="6" spans="1:33" x14ac:dyDescent="0.25">
      <c r="A6" s="32">
        <f t="shared" si="1"/>
        <v>3</v>
      </c>
      <c r="B6" s="39" t="s">
        <v>61</v>
      </c>
      <c r="C6" s="42" t="s">
        <v>62</v>
      </c>
      <c r="D6" s="39" t="s">
        <v>63</v>
      </c>
      <c r="E6" s="39" t="s">
        <v>51</v>
      </c>
      <c r="F6" s="40" t="s">
        <v>52</v>
      </c>
      <c r="G6" s="41">
        <v>30064</v>
      </c>
      <c r="H6" s="42" t="s">
        <v>64</v>
      </c>
      <c r="I6" s="43" t="s">
        <v>65</v>
      </c>
      <c r="J6" s="44">
        <v>81480</v>
      </c>
      <c r="K6" s="23"/>
      <c r="L6" s="45"/>
      <c r="M6" s="48" t="s">
        <v>39</v>
      </c>
      <c r="N6" s="46"/>
      <c r="O6" s="46"/>
      <c r="P6" s="49" t="str">
        <f>HLOOKUP(M6,Table1[#All],ROWS(Table1[])+1,FALSE)</f>
        <v>Damm</v>
      </c>
      <c r="Q6" s="50"/>
      <c r="R6" s="50"/>
      <c r="S6" s="50"/>
      <c r="T6" s="50"/>
      <c r="U6" s="51"/>
      <c r="V6" s="46"/>
      <c r="W6" s="52" t="s">
        <v>42</v>
      </c>
      <c r="X6" s="46"/>
      <c r="Y6" s="49" t="str">
        <f>HLOOKUP(W6,Table1[#All],ROWS(Table1[])+1,FALSE)</f>
        <v>Fairfield</v>
      </c>
      <c r="Z6" s="50"/>
      <c r="AA6" s="50"/>
      <c r="AB6" s="50"/>
      <c r="AC6" s="50"/>
      <c r="AD6" s="51"/>
      <c r="AE6" s="47"/>
      <c r="AF6" s="23"/>
      <c r="AG6" s="23"/>
    </row>
    <row r="7" spans="1:33" x14ac:dyDescent="0.25">
      <c r="A7" s="32">
        <f t="shared" si="1"/>
        <v>4</v>
      </c>
      <c r="B7" s="39" t="s">
        <v>66</v>
      </c>
      <c r="C7" s="42" t="s">
        <v>67</v>
      </c>
      <c r="D7" s="39" t="s">
        <v>68</v>
      </c>
      <c r="E7" s="39" t="s">
        <v>51</v>
      </c>
      <c r="F7" s="40" t="s">
        <v>52</v>
      </c>
      <c r="G7" s="41">
        <v>30065</v>
      </c>
      <c r="H7" s="42" t="s">
        <v>69</v>
      </c>
      <c r="I7" s="43" t="s">
        <v>54</v>
      </c>
      <c r="J7" s="44">
        <v>202578</v>
      </c>
      <c r="K7" s="23"/>
      <c r="L7" s="45"/>
      <c r="M7" s="46"/>
      <c r="N7" s="46"/>
      <c r="O7" s="46"/>
      <c r="P7" s="46"/>
      <c r="Q7" s="46"/>
      <c r="R7" s="46"/>
      <c r="S7" s="46"/>
      <c r="T7" s="46"/>
      <c r="U7" s="46"/>
      <c r="V7" s="46"/>
      <c r="W7" s="46"/>
      <c r="X7" s="46"/>
      <c r="Y7" s="46"/>
      <c r="Z7" s="46"/>
      <c r="AA7" s="46"/>
      <c r="AB7" s="46"/>
      <c r="AC7" s="46"/>
      <c r="AD7" s="46"/>
      <c r="AE7" s="47"/>
      <c r="AF7" s="23"/>
      <c r="AG7" s="23"/>
    </row>
    <row r="8" spans="1:33" x14ac:dyDescent="0.25">
      <c r="A8" s="32">
        <f t="shared" si="1"/>
        <v>5</v>
      </c>
      <c r="B8" s="42" t="s">
        <v>70</v>
      </c>
      <c r="C8" s="39" t="s">
        <v>71</v>
      </c>
      <c r="D8" s="39" t="s">
        <v>72</v>
      </c>
      <c r="E8" s="39" t="s">
        <v>51</v>
      </c>
      <c r="F8" s="40" t="s">
        <v>52</v>
      </c>
      <c r="G8" s="41">
        <v>30066</v>
      </c>
      <c r="H8" s="42" t="s">
        <v>73</v>
      </c>
      <c r="I8" s="43" t="s">
        <v>60</v>
      </c>
      <c r="J8" s="44">
        <v>177209</v>
      </c>
      <c r="K8" s="23"/>
      <c r="L8" s="45"/>
      <c r="M8" s="48" t="s">
        <v>40</v>
      </c>
      <c r="N8" s="46"/>
      <c r="O8" s="46"/>
      <c r="P8" s="49" t="str">
        <f>HLOOKUP(M8,Table1[#All],ROWS(Table1[])+1,FALSE)</f>
        <v>William</v>
      </c>
      <c r="Q8" s="50"/>
      <c r="R8" s="50"/>
      <c r="S8" s="50"/>
      <c r="T8" s="50"/>
      <c r="U8" s="51"/>
      <c r="V8" s="46"/>
      <c r="W8" s="52" t="s">
        <v>43</v>
      </c>
      <c r="X8" s="46"/>
      <c r="Y8" s="49" t="str">
        <f>HLOOKUP(W8,Table1[#All],ROWS(Table1[])+1,FALSE)</f>
        <v>CT</v>
      </c>
      <c r="Z8" s="50"/>
      <c r="AA8" s="50"/>
      <c r="AB8" s="50"/>
      <c r="AC8" s="50"/>
      <c r="AD8" s="51"/>
      <c r="AE8" s="47"/>
      <c r="AF8" s="23"/>
      <c r="AG8" s="23"/>
    </row>
    <row r="9" spans="1:33" x14ac:dyDescent="0.25">
      <c r="A9" s="32">
        <f t="shared" si="1"/>
        <v>6</v>
      </c>
      <c r="B9" s="39" t="s">
        <v>74</v>
      </c>
      <c r="C9" s="39" t="s">
        <v>75</v>
      </c>
      <c r="D9" s="39" t="s">
        <v>76</v>
      </c>
      <c r="E9" s="39" t="s">
        <v>77</v>
      </c>
      <c r="F9" s="40" t="s">
        <v>52</v>
      </c>
      <c r="G9" s="41">
        <v>30092</v>
      </c>
      <c r="H9" s="42" t="s">
        <v>78</v>
      </c>
      <c r="I9" s="43" t="s">
        <v>65</v>
      </c>
      <c r="J9" s="44">
        <v>212254.23</v>
      </c>
      <c r="K9" s="23"/>
      <c r="L9" s="45"/>
      <c r="M9" s="46"/>
      <c r="N9" s="46"/>
      <c r="O9" s="46"/>
      <c r="P9" s="46"/>
      <c r="Q9" s="46"/>
      <c r="R9" s="46"/>
      <c r="S9" s="46"/>
      <c r="T9" s="46"/>
      <c r="U9" s="46"/>
      <c r="V9" s="46"/>
      <c r="W9" s="46"/>
      <c r="X9" s="46"/>
      <c r="Y9" s="46"/>
      <c r="Z9" s="46"/>
      <c r="AA9" s="46"/>
      <c r="AB9" s="46"/>
      <c r="AC9" s="46"/>
      <c r="AD9" s="46"/>
      <c r="AE9" s="47"/>
      <c r="AF9" s="23"/>
      <c r="AG9" s="23"/>
    </row>
    <row r="10" spans="1:33" x14ac:dyDescent="0.25">
      <c r="A10" s="32">
        <f t="shared" si="1"/>
        <v>7</v>
      </c>
      <c r="B10" s="39" t="s">
        <v>79</v>
      </c>
      <c r="C10" s="39" t="s">
        <v>80</v>
      </c>
      <c r="D10" s="39" t="s">
        <v>50</v>
      </c>
      <c r="E10" s="39" t="s">
        <v>81</v>
      </c>
      <c r="F10" s="40" t="s">
        <v>82</v>
      </c>
      <c r="G10" s="41">
        <v>30092</v>
      </c>
      <c r="H10" s="42" t="s">
        <v>53</v>
      </c>
      <c r="I10" s="43" t="s">
        <v>54</v>
      </c>
      <c r="J10" s="44">
        <v>124533.45</v>
      </c>
      <c r="K10" s="23"/>
      <c r="L10" s="45"/>
      <c r="M10" s="48" t="s">
        <v>41</v>
      </c>
      <c r="N10" s="46"/>
      <c r="O10" s="46"/>
      <c r="P10" s="49" t="str">
        <f>HLOOKUP(M10,Table1[#All],ROWS(Table1[])+1,FALSE)</f>
        <v>555 Melody Lane</v>
      </c>
      <c r="Q10" s="50"/>
      <c r="R10" s="50"/>
      <c r="S10" s="50"/>
      <c r="T10" s="50"/>
      <c r="U10" s="51"/>
      <c r="V10" s="46"/>
      <c r="W10" s="52" t="s">
        <v>44</v>
      </c>
      <c r="X10" s="46"/>
      <c r="Y10" s="311">
        <f>HLOOKUP(W10,Table1[#All],ROWS(Table1[])+1,FALSE)</f>
        <v>6824</v>
      </c>
      <c r="Z10" s="312"/>
      <c r="AA10" s="312"/>
      <c r="AB10" s="312"/>
      <c r="AC10" s="312"/>
      <c r="AD10" s="313"/>
      <c r="AE10" s="47"/>
      <c r="AF10" s="23"/>
      <c r="AG10" s="23"/>
    </row>
    <row r="11" spans="1:33" x14ac:dyDescent="0.25">
      <c r="A11" s="32">
        <f>ROW(B11)-3</f>
        <v>8</v>
      </c>
      <c r="B11" s="53" t="s">
        <v>83</v>
      </c>
      <c r="C11" s="53" t="s">
        <v>84</v>
      </c>
      <c r="D11" s="53" t="s">
        <v>85</v>
      </c>
      <c r="E11" s="53" t="s">
        <v>86</v>
      </c>
      <c r="F11" s="54" t="s">
        <v>87</v>
      </c>
      <c r="G11" s="55">
        <v>6824</v>
      </c>
      <c r="H11" s="56" t="s">
        <v>88</v>
      </c>
      <c r="I11" s="54" t="s">
        <v>60</v>
      </c>
      <c r="J11" s="57">
        <v>95000</v>
      </c>
      <c r="K11" s="23"/>
      <c r="L11" s="45"/>
      <c r="M11" s="46"/>
      <c r="N11" s="46"/>
      <c r="O11" s="46"/>
      <c r="P11" s="46"/>
      <c r="Q11" s="46"/>
      <c r="R11" s="46"/>
      <c r="S11" s="46"/>
      <c r="T11" s="46"/>
      <c r="U11" s="46"/>
      <c r="V11" s="46"/>
      <c r="W11" s="46"/>
      <c r="X11" s="46"/>
      <c r="Y11" s="46"/>
      <c r="Z11" s="46"/>
      <c r="AA11" s="46"/>
      <c r="AB11" s="46"/>
      <c r="AC11" s="46"/>
      <c r="AD11" s="46"/>
      <c r="AE11" s="47"/>
      <c r="AF11" s="23"/>
      <c r="AG11" s="23"/>
    </row>
    <row r="12" spans="1:33" x14ac:dyDescent="0.25">
      <c r="A12" s="58"/>
      <c r="B12" s="23"/>
      <c r="C12" s="23"/>
      <c r="D12" s="23"/>
      <c r="E12" s="23"/>
      <c r="F12" s="23"/>
      <c r="G12" s="59"/>
      <c r="H12" s="23"/>
      <c r="I12" s="23"/>
      <c r="J12" s="23"/>
      <c r="K12" s="23"/>
      <c r="L12" s="45"/>
      <c r="M12" s="52" t="s">
        <v>45</v>
      </c>
      <c r="N12" s="46"/>
      <c r="O12" s="46"/>
      <c r="P12" s="49" t="str">
        <f>HLOOKUP(M12,Table1[#All],ROWS(Table1[])+1,FALSE)</f>
        <v>800.555.1212</v>
      </c>
      <c r="Q12" s="50"/>
      <c r="R12" s="50"/>
      <c r="S12" s="50"/>
      <c r="T12" s="50"/>
      <c r="U12" s="51"/>
      <c r="V12" s="46"/>
      <c r="W12" s="60" t="s">
        <v>89</v>
      </c>
      <c r="X12" s="46"/>
      <c r="Y12" s="306" t="str">
        <f>HLOOKUP("Pension Plan",Table1[#All],ROWS(Table1[])+1,FALSE)</f>
        <v>Plan B</v>
      </c>
      <c r="Z12" s="314"/>
      <c r="AA12" s="314"/>
      <c r="AB12" s="314"/>
      <c r="AC12" s="314"/>
      <c r="AD12" s="315"/>
      <c r="AE12" s="47"/>
      <c r="AF12" s="23"/>
      <c r="AG12" s="23"/>
    </row>
    <row r="13" spans="1:33" x14ac:dyDescent="0.25">
      <c r="A13" s="58"/>
      <c r="B13" s="23"/>
      <c r="C13" s="23"/>
      <c r="D13" s="23"/>
      <c r="E13" s="23"/>
      <c r="F13" s="23"/>
      <c r="G13" s="59"/>
      <c r="H13" s="23"/>
      <c r="I13" s="23"/>
      <c r="J13" s="23"/>
      <c r="K13" s="23"/>
      <c r="L13" s="45"/>
      <c r="M13" s="46"/>
      <c r="N13" s="46"/>
      <c r="O13" s="46"/>
      <c r="P13" s="46"/>
      <c r="Q13" s="46"/>
      <c r="R13" s="46"/>
      <c r="S13" s="46"/>
      <c r="T13" s="46"/>
      <c r="U13" s="46"/>
      <c r="V13" s="46"/>
      <c r="W13" s="46"/>
      <c r="X13" s="46"/>
      <c r="Y13" s="46"/>
      <c r="Z13" s="46"/>
      <c r="AA13" s="46"/>
      <c r="AB13" s="46"/>
      <c r="AC13" s="46"/>
      <c r="AD13" s="46"/>
      <c r="AE13" s="47"/>
      <c r="AF13" s="23"/>
      <c r="AG13" s="23"/>
    </row>
    <row r="14" spans="1:33" x14ac:dyDescent="0.25">
      <c r="A14" s="58"/>
      <c r="B14" s="23"/>
      <c r="C14" s="23"/>
      <c r="D14" s="23"/>
      <c r="E14" s="23"/>
      <c r="F14" s="23"/>
      <c r="G14" s="59"/>
      <c r="H14" s="23"/>
      <c r="I14" s="23"/>
      <c r="J14" s="23"/>
      <c r="K14" s="23"/>
      <c r="L14" s="45"/>
      <c r="M14" s="52" t="s">
        <v>90</v>
      </c>
      <c r="N14" s="46"/>
      <c r="O14" s="46"/>
      <c r="P14" s="46"/>
      <c r="Q14" s="46"/>
      <c r="R14" s="46"/>
      <c r="S14" s="46"/>
      <c r="T14" s="46"/>
      <c r="U14" s="46"/>
      <c r="V14" s="46"/>
      <c r="W14" s="46"/>
      <c r="X14" s="46"/>
      <c r="Y14" s="316" t="s">
        <v>35</v>
      </c>
      <c r="Z14" s="317"/>
      <c r="AA14" s="317"/>
      <c r="AB14" s="317"/>
      <c r="AC14" s="317"/>
      <c r="AD14" s="51"/>
      <c r="AE14" s="47"/>
      <c r="AF14" s="23"/>
      <c r="AG14" s="23"/>
    </row>
    <row r="15" spans="1:33" x14ac:dyDescent="0.25">
      <c r="A15" s="58"/>
      <c r="B15" s="23"/>
      <c r="C15" s="23"/>
      <c r="D15" s="23"/>
      <c r="E15" s="23"/>
      <c r="F15" s="23"/>
      <c r="G15" s="59"/>
      <c r="H15" s="23"/>
      <c r="I15" s="23"/>
      <c r="J15" s="23"/>
      <c r="K15" s="23"/>
      <c r="L15" s="45"/>
      <c r="M15" s="46"/>
      <c r="N15" s="46"/>
      <c r="O15" s="46"/>
      <c r="P15" s="46"/>
      <c r="Q15" s="46"/>
      <c r="R15" s="46"/>
      <c r="S15" s="46"/>
      <c r="T15" s="46"/>
      <c r="U15" s="46"/>
      <c r="V15" s="46"/>
      <c r="W15" s="46"/>
      <c r="X15" s="46"/>
      <c r="Y15" s="46"/>
      <c r="Z15" s="46"/>
      <c r="AA15" s="46"/>
      <c r="AB15" s="46"/>
      <c r="AC15" s="46"/>
      <c r="AD15" s="46"/>
      <c r="AE15" s="47"/>
      <c r="AF15" s="23"/>
      <c r="AG15" s="23"/>
    </row>
    <row r="16" spans="1:33" x14ac:dyDescent="0.25">
      <c r="A16" s="58"/>
      <c r="B16" s="23"/>
      <c r="C16" s="23"/>
      <c r="D16" s="23"/>
      <c r="E16" s="23"/>
      <c r="F16" s="23"/>
      <c r="G16" s="59"/>
      <c r="H16" s="23"/>
      <c r="I16" s="23"/>
      <c r="J16" s="23"/>
      <c r="K16" s="23"/>
      <c r="L16" s="303" t="s">
        <v>91</v>
      </c>
      <c r="M16" s="304"/>
      <c r="N16" s="304"/>
      <c r="O16" s="304"/>
      <c r="P16" s="304"/>
      <c r="Q16" s="304"/>
      <c r="R16" s="304"/>
      <c r="S16" s="304"/>
      <c r="T16" s="304"/>
      <c r="U16" s="304"/>
      <c r="V16" s="304"/>
      <c r="W16" s="304"/>
      <c r="X16" s="304"/>
      <c r="Y16" s="304"/>
      <c r="Z16" s="304"/>
      <c r="AA16" s="304"/>
      <c r="AB16" s="304"/>
      <c r="AC16" s="304"/>
      <c r="AD16" s="304"/>
      <c r="AE16" s="305"/>
      <c r="AF16" s="23"/>
      <c r="AG16" s="23"/>
    </row>
    <row r="17" spans="1:33" ht="16.5" thickBot="1" x14ac:dyDescent="0.3">
      <c r="A17" s="58"/>
      <c r="B17" s="23"/>
      <c r="C17" s="23"/>
      <c r="D17" s="23"/>
      <c r="E17" s="23"/>
      <c r="F17" s="23"/>
      <c r="G17" s="59"/>
      <c r="H17" s="23"/>
      <c r="I17" s="23"/>
      <c r="J17" s="23"/>
      <c r="K17" s="23"/>
      <c r="L17" s="61"/>
      <c r="M17" s="62"/>
      <c r="N17" s="62"/>
      <c r="O17" s="62"/>
      <c r="P17" s="62"/>
      <c r="Q17" s="62"/>
      <c r="R17" s="62"/>
      <c r="S17" s="62"/>
      <c r="T17" s="62"/>
      <c r="U17" s="62"/>
      <c r="V17" s="62"/>
      <c r="W17" s="62"/>
      <c r="X17" s="62"/>
      <c r="Y17" s="62"/>
      <c r="Z17" s="62"/>
      <c r="AA17" s="62"/>
      <c r="AB17" s="62"/>
      <c r="AC17" s="62"/>
      <c r="AD17" s="62"/>
      <c r="AE17" s="63"/>
      <c r="AF17" s="23"/>
      <c r="AG17" s="23"/>
    </row>
    <row r="18" spans="1:33" x14ac:dyDescent="0.25">
      <c r="A18" s="58"/>
      <c r="B18" s="23"/>
      <c r="C18" s="23"/>
      <c r="D18" s="23"/>
      <c r="E18" s="23"/>
      <c r="F18" s="23"/>
      <c r="G18" s="59"/>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row>
    <row r="19" spans="1:33" x14ac:dyDescent="0.25">
      <c r="A19" s="58"/>
      <c r="B19" s="23"/>
      <c r="C19" s="23"/>
      <c r="D19" s="23"/>
      <c r="E19" s="23"/>
      <c r="F19" s="23"/>
      <c r="G19" s="59"/>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row>
    <row r="20" spans="1:33" x14ac:dyDescent="0.25">
      <c r="A20" s="58"/>
      <c r="B20" s="23"/>
      <c r="C20" s="23"/>
      <c r="D20" s="23"/>
      <c r="E20" s="23"/>
      <c r="F20" s="23"/>
      <c r="G20" s="59"/>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row>
    <row r="21" spans="1:33" x14ac:dyDescent="0.25">
      <c r="A21" s="58"/>
      <c r="B21" s="23"/>
      <c r="C21" s="23"/>
      <c r="D21" s="23"/>
      <c r="E21" s="23"/>
      <c r="F21" s="23"/>
      <c r="G21" s="59"/>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row>
    <row r="22" spans="1:33" x14ac:dyDescent="0.25">
      <c r="A22" s="58"/>
      <c r="B22" s="23"/>
      <c r="C22" s="23"/>
      <c r="D22" s="23"/>
      <c r="E22" s="23"/>
      <c r="F22" s="23"/>
      <c r="G22" s="59"/>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row>
    <row r="23" spans="1:33" x14ac:dyDescent="0.25">
      <c r="A23" s="58"/>
      <c r="B23" s="23"/>
      <c r="C23" s="23"/>
      <c r="D23" s="23"/>
      <c r="E23" s="23"/>
      <c r="F23" s="23"/>
      <c r="G23" s="59"/>
      <c r="H23" s="23"/>
      <c r="I23" s="23"/>
      <c r="J23" s="23"/>
      <c r="K23" s="23"/>
      <c r="L23" s="23"/>
      <c r="M23" s="23"/>
      <c r="N23" s="23"/>
      <c r="O23" s="23"/>
      <c r="P23" s="23"/>
      <c r="Q23" s="23"/>
      <c r="R23" s="23"/>
      <c r="S23" s="23"/>
      <c r="T23" s="23"/>
      <c r="U23" s="23"/>
      <c r="V23" s="23"/>
      <c r="W23" s="23"/>
      <c r="X23" s="23"/>
      <c r="Y23" s="23"/>
      <c r="Z23" s="23"/>
      <c r="AA23" s="23"/>
      <c r="AB23" s="23"/>
      <c r="AC23" s="23"/>
      <c r="AD23" s="23"/>
      <c r="AE23" s="23"/>
      <c r="AF23" s="23"/>
      <c r="AG23" s="23"/>
    </row>
    <row r="24" spans="1:33" x14ac:dyDescent="0.25">
      <c r="A24" s="58"/>
      <c r="B24" s="23"/>
      <c r="C24" s="23"/>
      <c r="D24" s="23"/>
      <c r="E24" s="23"/>
      <c r="F24" s="23"/>
      <c r="G24" s="59"/>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row>
    <row r="25" spans="1:33" x14ac:dyDescent="0.25">
      <c r="A25" s="58"/>
      <c r="B25" s="23"/>
      <c r="C25" s="23"/>
      <c r="D25" s="23"/>
      <c r="E25" s="23"/>
      <c r="F25" s="23"/>
      <c r="G25" s="59"/>
      <c r="H25" s="23"/>
      <c r="I25" s="23"/>
      <c r="J25" s="23"/>
      <c r="K25" s="23"/>
      <c r="L25" s="23"/>
      <c r="M25" s="23"/>
      <c r="N25" s="23"/>
      <c r="O25" s="23"/>
      <c r="P25" s="23"/>
      <c r="Q25" s="23"/>
      <c r="R25" s="23"/>
      <c r="S25" s="23"/>
      <c r="T25" s="23"/>
      <c r="U25" s="23"/>
      <c r="V25" s="23"/>
      <c r="W25" s="23"/>
      <c r="X25" s="23"/>
      <c r="Y25" s="23"/>
      <c r="Z25" s="23"/>
      <c r="AA25" s="23"/>
      <c r="AB25" s="23"/>
      <c r="AC25" s="23"/>
      <c r="AD25" s="23"/>
      <c r="AE25" s="23"/>
      <c r="AF25" s="23"/>
      <c r="AG25" s="23"/>
    </row>
    <row r="26" spans="1:33" x14ac:dyDescent="0.25">
      <c r="A26" s="58"/>
      <c r="B26" s="23"/>
      <c r="C26" s="23"/>
      <c r="D26" s="23"/>
      <c r="E26" s="23"/>
      <c r="F26" s="23"/>
      <c r="G26" s="59"/>
      <c r="H26" s="23"/>
      <c r="I26" s="23"/>
      <c r="J26" s="23"/>
      <c r="K26" s="23"/>
      <c r="L26" s="23"/>
      <c r="M26" s="23"/>
      <c r="N26" s="23"/>
      <c r="O26" s="23"/>
      <c r="P26" s="23"/>
      <c r="Q26" s="23"/>
      <c r="R26" s="23"/>
      <c r="S26" s="23"/>
      <c r="T26" s="23"/>
      <c r="U26" s="23"/>
      <c r="V26" s="23"/>
      <c r="W26" s="23"/>
      <c r="X26" s="23"/>
      <c r="Y26" s="23"/>
      <c r="Z26" s="23"/>
      <c r="AA26" s="23"/>
      <c r="AB26" s="23"/>
      <c r="AC26" s="23"/>
      <c r="AD26" s="23"/>
      <c r="AE26" s="23"/>
      <c r="AF26" s="23"/>
      <c r="AG26" s="23"/>
    </row>
    <row r="27" spans="1:33" x14ac:dyDescent="0.25">
      <c r="A27" s="58"/>
      <c r="B27" s="23"/>
      <c r="C27" s="23"/>
      <c r="D27" s="23"/>
      <c r="E27" s="23"/>
      <c r="F27" s="23"/>
      <c r="G27" s="59"/>
      <c r="H27" s="23"/>
      <c r="I27" s="23"/>
      <c r="J27" s="23"/>
      <c r="K27" s="23"/>
      <c r="L27" s="23"/>
      <c r="M27" s="23"/>
      <c r="N27" s="23"/>
      <c r="O27" s="23"/>
      <c r="P27" s="23"/>
      <c r="Q27" s="23"/>
      <c r="R27" s="23"/>
      <c r="S27" s="23"/>
      <c r="T27" s="23"/>
      <c r="U27" s="23"/>
      <c r="V27" s="23"/>
      <c r="W27" s="23"/>
      <c r="X27" s="23"/>
      <c r="Y27" s="23"/>
      <c r="Z27" s="23"/>
      <c r="AA27" s="23"/>
      <c r="AB27" s="23"/>
      <c r="AC27" s="23"/>
      <c r="AD27" s="23"/>
      <c r="AE27" s="23"/>
      <c r="AF27" s="23"/>
      <c r="AG27" s="23"/>
    </row>
    <row r="28" spans="1:33" x14ac:dyDescent="0.25">
      <c r="A28" s="58"/>
      <c r="B28" s="23"/>
      <c r="C28" s="23"/>
      <c r="D28" s="23"/>
      <c r="E28" s="23"/>
      <c r="F28" s="23"/>
      <c r="G28" s="59"/>
      <c r="H28" s="23"/>
      <c r="I28" s="23"/>
      <c r="J28" s="23"/>
      <c r="K28" s="23"/>
      <c r="L28" s="23"/>
      <c r="M28" s="23"/>
      <c r="N28" s="23"/>
      <c r="O28" s="23"/>
      <c r="P28" s="23"/>
      <c r="Q28" s="23"/>
      <c r="R28" s="23"/>
      <c r="S28" s="23"/>
      <c r="T28" s="23"/>
      <c r="U28" s="23"/>
      <c r="V28" s="23"/>
      <c r="W28" s="23"/>
      <c r="X28" s="23"/>
      <c r="Y28" s="23"/>
      <c r="Z28" s="23"/>
      <c r="AA28" s="23"/>
      <c r="AB28" s="23"/>
      <c r="AC28" s="23"/>
      <c r="AD28" s="23"/>
      <c r="AE28" s="23"/>
      <c r="AF28" s="23"/>
      <c r="AG28" s="23"/>
    </row>
    <row r="29" spans="1:33" x14ac:dyDescent="0.25">
      <c r="A29" s="58"/>
      <c r="B29" s="23"/>
      <c r="C29" s="23"/>
      <c r="D29" s="23"/>
      <c r="E29" s="23"/>
      <c r="F29" s="23"/>
      <c r="G29" s="59"/>
      <c r="H29" s="23"/>
      <c r="I29" s="23"/>
      <c r="J29" s="23"/>
      <c r="M29" s="23"/>
      <c r="N29" s="23"/>
      <c r="O29" s="23"/>
      <c r="P29" s="23"/>
      <c r="Q29" s="23"/>
      <c r="R29" s="23"/>
      <c r="S29" s="23"/>
      <c r="T29" s="23"/>
      <c r="U29" s="23"/>
      <c r="V29" s="23"/>
      <c r="W29" s="23"/>
      <c r="X29" s="23"/>
      <c r="Y29" s="23"/>
      <c r="Z29" s="23"/>
      <c r="AA29" s="23"/>
      <c r="AB29" s="23"/>
      <c r="AC29" s="23"/>
      <c r="AD29" s="23"/>
      <c r="AE29" s="23"/>
      <c r="AF29" s="23"/>
      <c r="AG29" s="23"/>
    </row>
    <row r="30" spans="1:33" x14ac:dyDescent="0.25">
      <c r="A30" s="58"/>
      <c r="B30" s="23"/>
      <c r="C30" s="23"/>
      <c r="D30" s="23"/>
      <c r="E30" s="23"/>
      <c r="F30" s="23"/>
      <c r="G30" s="59"/>
      <c r="H30" s="23"/>
      <c r="I30" s="23"/>
      <c r="J30" s="23"/>
      <c r="M30" s="23"/>
      <c r="N30" s="23"/>
      <c r="O30" s="23"/>
      <c r="P30" s="23"/>
      <c r="Q30" s="23"/>
      <c r="R30" s="23"/>
      <c r="S30" s="23"/>
      <c r="T30" s="23"/>
      <c r="U30" s="23"/>
      <c r="V30" s="23"/>
      <c r="W30" s="23"/>
      <c r="X30" s="23"/>
      <c r="Y30" s="23"/>
      <c r="Z30" s="23"/>
      <c r="AA30" s="23"/>
      <c r="AB30" s="23"/>
      <c r="AC30" s="23"/>
      <c r="AD30" s="23"/>
      <c r="AE30" s="23"/>
      <c r="AF30" s="23"/>
      <c r="AG30" s="23"/>
    </row>
  </sheetData>
  <mergeCells count="5">
    <mergeCell ref="L4:AE4"/>
    <mergeCell ref="Y10:AD10"/>
    <mergeCell ref="Y12:AD12"/>
    <mergeCell ref="Y14:AC14"/>
    <mergeCell ref="L16:AE16"/>
  </mergeCells>
  <dataValidations disablePrompts="1" count="1">
    <dataValidation type="list" allowBlank="1" showInputMessage="1" showErrorMessage="1" sqref="I1:I30">
      <formula1>"Plan A,Plan B,Plan C"</formula1>
    </dataValidation>
  </dataValidations>
  <pageMargins left="0.7" right="0.7" top="0.75" bottom="0.75" header="0.3" footer="0.3"/>
  <drawing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G27"/>
  <sheetViews>
    <sheetView showGridLines="0" workbookViewId="0">
      <selection activeCell="O1" sqref="O1"/>
    </sheetView>
  </sheetViews>
  <sheetFormatPr defaultRowHeight="15.75" x14ac:dyDescent="0.25"/>
  <cols>
    <col min="1" max="1" width="7.875" bestFit="1" customWidth="1"/>
    <col min="2" max="3" width="10" bestFit="1" customWidth="1"/>
    <col min="4" max="4" width="19" bestFit="1" customWidth="1"/>
    <col min="5" max="5" width="8.375" bestFit="1" customWidth="1"/>
    <col min="6" max="6" width="5.375" bestFit="1" customWidth="1"/>
    <col min="7" max="7" width="5.875" bestFit="1" customWidth="1"/>
    <col min="8" max="8" width="11.875" bestFit="1" customWidth="1"/>
    <col min="9" max="9" width="11.875" customWidth="1"/>
    <col min="10" max="10" width="12.125" bestFit="1" customWidth="1"/>
    <col min="11" max="11" width="3.75" customWidth="1"/>
    <col min="12" max="31" width="3.625" customWidth="1"/>
    <col min="32" max="32" width="3" customWidth="1"/>
  </cols>
  <sheetData>
    <row r="1" spans="1:33" x14ac:dyDescent="0.25">
      <c r="A1" s="16"/>
      <c r="B1" s="16"/>
      <c r="C1" s="16"/>
      <c r="D1" s="16"/>
      <c r="E1" s="16"/>
      <c r="F1" s="16"/>
      <c r="G1" s="16"/>
      <c r="H1" s="16"/>
      <c r="I1" s="16"/>
      <c r="J1" s="16"/>
      <c r="K1" s="16"/>
      <c r="L1" s="16"/>
      <c r="M1" s="16"/>
      <c r="N1" s="16"/>
      <c r="O1" s="16"/>
      <c r="P1" s="16"/>
      <c r="Q1" s="16"/>
      <c r="R1" s="16"/>
      <c r="S1" s="17" t="str">
        <f t="shared" ref="S1:AB1" si="0">VLOOKUP(MAX($A$3:$A$147),$A$3:$H$147,2)</f>
        <v>Jones</v>
      </c>
      <c r="T1" s="17" t="str">
        <f t="shared" si="0"/>
        <v>Jones</v>
      </c>
      <c r="U1" s="17" t="str">
        <f t="shared" si="0"/>
        <v>Jones</v>
      </c>
      <c r="V1" s="17" t="str">
        <f t="shared" si="0"/>
        <v>Jones</v>
      </c>
      <c r="W1" s="17" t="str">
        <f t="shared" si="0"/>
        <v>Jones</v>
      </c>
      <c r="X1" s="17" t="str">
        <f t="shared" si="0"/>
        <v>Jones</v>
      </c>
      <c r="Y1" s="17" t="str">
        <f t="shared" si="0"/>
        <v>Jones</v>
      </c>
      <c r="Z1" s="17" t="str">
        <f t="shared" si="0"/>
        <v>Jones</v>
      </c>
      <c r="AA1" s="17" t="str">
        <f t="shared" si="0"/>
        <v>Jones</v>
      </c>
      <c r="AB1" s="17" t="str">
        <f t="shared" si="0"/>
        <v>Jones</v>
      </c>
      <c r="AC1" s="18"/>
      <c r="AD1" s="18"/>
      <c r="AE1" s="18"/>
      <c r="AF1" s="18"/>
      <c r="AG1" s="18"/>
    </row>
    <row r="2" spans="1:33" ht="16.5" thickBot="1" x14ac:dyDescent="0.3">
      <c r="A2" s="73"/>
      <c r="B2" s="20"/>
      <c r="C2" s="20"/>
      <c r="D2" s="20"/>
      <c r="E2" s="20"/>
      <c r="F2" s="20"/>
      <c r="G2" s="20"/>
      <c r="H2" s="20"/>
      <c r="I2" s="22"/>
      <c r="J2" s="20"/>
      <c r="K2" s="23"/>
      <c r="L2" s="23"/>
      <c r="M2" s="23"/>
      <c r="N2" s="23"/>
      <c r="O2" s="23"/>
      <c r="P2" s="23"/>
      <c r="Q2" s="23"/>
      <c r="R2" s="23"/>
      <c r="S2" s="23"/>
      <c r="T2" s="23"/>
      <c r="U2" s="23"/>
      <c r="V2" s="23"/>
      <c r="W2" s="23"/>
      <c r="X2" s="23"/>
      <c r="Y2" s="23"/>
      <c r="Z2" s="23"/>
      <c r="AA2" s="23"/>
      <c r="AB2" s="23"/>
      <c r="AC2" s="23"/>
      <c r="AD2" s="23"/>
      <c r="AE2" s="23"/>
      <c r="AF2" s="23"/>
      <c r="AG2" s="23"/>
    </row>
    <row r="3" spans="1:33" x14ac:dyDescent="0.25">
      <c r="A3" s="68" t="s">
        <v>38</v>
      </c>
      <c r="B3" s="69" t="s">
        <v>39</v>
      </c>
      <c r="C3" s="69" t="s">
        <v>40</v>
      </c>
      <c r="D3" s="69" t="s">
        <v>41</v>
      </c>
      <c r="E3" s="68" t="s">
        <v>42</v>
      </c>
      <c r="F3" s="68" t="s">
        <v>43</v>
      </c>
      <c r="G3" s="68" t="s">
        <v>44</v>
      </c>
      <c r="H3" s="68" t="s">
        <v>45</v>
      </c>
      <c r="I3" s="68" t="s">
        <v>46</v>
      </c>
      <c r="J3" s="68" t="s">
        <v>47</v>
      </c>
      <c r="K3" s="23"/>
      <c r="L3" s="29"/>
      <c r="M3" s="30"/>
      <c r="N3" s="30"/>
      <c r="O3" s="30"/>
      <c r="P3" s="30"/>
      <c r="Q3" s="30"/>
      <c r="R3" s="30"/>
      <c r="S3" s="30"/>
      <c r="T3" s="30"/>
      <c r="U3" s="30"/>
      <c r="V3" s="30"/>
      <c r="W3" s="30"/>
      <c r="X3" s="30"/>
      <c r="Y3" s="30"/>
      <c r="Z3" s="30"/>
      <c r="AA3" s="30"/>
      <c r="AB3" s="30"/>
      <c r="AC3" s="30"/>
      <c r="AD3" s="30"/>
      <c r="AE3" s="31"/>
      <c r="AF3" s="23"/>
      <c r="AG3" s="23"/>
    </row>
    <row r="4" spans="1:33" x14ac:dyDescent="0.25">
      <c r="A4" s="32">
        <f>IF(B4="","",1)</f>
        <v>1</v>
      </c>
      <c r="B4" s="33" t="s">
        <v>48</v>
      </c>
      <c r="C4" s="34" t="s">
        <v>49</v>
      </c>
      <c r="D4" s="34" t="s">
        <v>50</v>
      </c>
      <c r="E4" s="34" t="s">
        <v>51</v>
      </c>
      <c r="F4" s="35" t="s">
        <v>52</v>
      </c>
      <c r="G4" s="35">
        <v>30062</v>
      </c>
      <c r="H4" s="33" t="s">
        <v>53</v>
      </c>
      <c r="I4" s="37" t="s">
        <v>54</v>
      </c>
      <c r="J4" s="70">
        <v>157665</v>
      </c>
      <c r="K4" s="23"/>
      <c r="L4" s="300" t="s">
        <v>55</v>
      </c>
      <c r="M4" s="301"/>
      <c r="N4" s="301"/>
      <c r="O4" s="301"/>
      <c r="P4" s="301"/>
      <c r="Q4" s="301"/>
      <c r="R4" s="301"/>
      <c r="S4" s="301"/>
      <c r="T4" s="301"/>
      <c r="U4" s="301"/>
      <c r="V4" s="301"/>
      <c r="W4" s="301"/>
      <c r="X4" s="301"/>
      <c r="Y4" s="301"/>
      <c r="Z4" s="301"/>
      <c r="AA4" s="301"/>
      <c r="AB4" s="301"/>
      <c r="AC4" s="301"/>
      <c r="AD4" s="301"/>
      <c r="AE4" s="302"/>
      <c r="AF4" s="23"/>
      <c r="AG4" s="23"/>
    </row>
    <row r="5" spans="1:33" x14ac:dyDescent="0.25">
      <c r="A5" s="32">
        <f>IF(B5="","",A4+1)</f>
        <v>2</v>
      </c>
      <c r="B5" s="39" t="s">
        <v>56</v>
      </c>
      <c r="C5" s="39" t="s">
        <v>57</v>
      </c>
      <c r="D5" s="39" t="s">
        <v>58</v>
      </c>
      <c r="E5" s="39" t="s">
        <v>51</v>
      </c>
      <c r="F5" s="40" t="s">
        <v>52</v>
      </c>
      <c r="G5" s="40">
        <v>30063</v>
      </c>
      <c r="H5" s="42" t="s">
        <v>59</v>
      </c>
      <c r="I5" s="43" t="s">
        <v>60</v>
      </c>
      <c r="J5" s="71">
        <v>156340</v>
      </c>
      <c r="K5" s="23"/>
      <c r="L5" s="45"/>
      <c r="M5" s="46"/>
      <c r="N5" s="46"/>
      <c r="O5" s="46"/>
      <c r="P5" s="46"/>
      <c r="Q5" s="46"/>
      <c r="R5" s="46"/>
      <c r="S5" s="46"/>
      <c r="T5" s="46"/>
      <c r="U5" s="46"/>
      <c r="V5" s="46"/>
      <c r="W5" s="46"/>
      <c r="X5" s="46"/>
      <c r="Y5" s="46"/>
      <c r="Z5" s="46"/>
      <c r="AA5" s="46"/>
      <c r="AB5" s="46"/>
      <c r="AC5" s="46"/>
      <c r="AD5" s="46"/>
      <c r="AE5" s="47"/>
      <c r="AF5" s="23"/>
      <c r="AG5" s="23"/>
    </row>
    <row r="6" spans="1:33" x14ac:dyDescent="0.25">
      <c r="A6" s="32">
        <f t="shared" ref="A6:A27" si="1">IF(B6="","",A5+1)</f>
        <v>3</v>
      </c>
      <c r="B6" s="39" t="s">
        <v>61</v>
      </c>
      <c r="C6" s="42" t="s">
        <v>62</v>
      </c>
      <c r="D6" s="39" t="s">
        <v>63</v>
      </c>
      <c r="E6" s="39" t="s">
        <v>51</v>
      </c>
      <c r="F6" s="40" t="s">
        <v>52</v>
      </c>
      <c r="G6" s="40">
        <v>30064</v>
      </c>
      <c r="H6" s="42" t="s">
        <v>64</v>
      </c>
      <c r="I6" s="43" t="s">
        <v>65</v>
      </c>
      <c r="J6" s="71">
        <v>81480</v>
      </c>
      <c r="K6" s="23"/>
      <c r="L6" s="45"/>
      <c r="M6" s="48" t="s">
        <v>39</v>
      </c>
      <c r="N6" s="46"/>
      <c r="O6" s="46"/>
      <c r="P6" s="49" t="str">
        <f>VLOOKUP(MAX(A4:A104),A4:J104,2,)</f>
        <v>Jones</v>
      </c>
      <c r="Q6" s="50"/>
      <c r="R6" s="50"/>
      <c r="S6" s="50"/>
      <c r="T6" s="50"/>
      <c r="U6" s="51"/>
      <c r="V6" s="46"/>
      <c r="W6" s="52" t="s">
        <v>42</v>
      </c>
      <c r="X6" s="46"/>
      <c r="Y6" s="49" t="str">
        <f>VLOOKUP(MAX(A4:A104),A4:J104,5,)</f>
        <v>Booneville</v>
      </c>
      <c r="Z6" s="50"/>
      <c r="AA6" s="50"/>
      <c r="AB6" s="50"/>
      <c r="AC6" s="50"/>
      <c r="AD6" s="51"/>
      <c r="AE6" s="47"/>
      <c r="AF6" s="23"/>
      <c r="AG6" s="23"/>
    </row>
    <row r="7" spans="1:33" x14ac:dyDescent="0.25">
      <c r="A7" s="32">
        <f t="shared" si="1"/>
        <v>4</v>
      </c>
      <c r="B7" s="39" t="s">
        <v>66</v>
      </c>
      <c r="C7" s="42" t="s">
        <v>67</v>
      </c>
      <c r="D7" s="39" t="s">
        <v>68</v>
      </c>
      <c r="E7" s="39" t="s">
        <v>51</v>
      </c>
      <c r="F7" s="40" t="s">
        <v>52</v>
      </c>
      <c r="G7" s="40">
        <v>30065</v>
      </c>
      <c r="H7" s="42" t="s">
        <v>69</v>
      </c>
      <c r="I7" s="43" t="s">
        <v>54</v>
      </c>
      <c r="J7" s="71">
        <v>202578</v>
      </c>
      <c r="K7" s="23"/>
      <c r="L7" s="45"/>
      <c r="M7" s="46"/>
      <c r="N7" s="46"/>
      <c r="O7" s="46"/>
      <c r="P7" s="46"/>
      <c r="Q7" s="46"/>
      <c r="R7" s="46"/>
      <c r="S7" s="46"/>
      <c r="T7" s="46"/>
      <c r="U7" s="46"/>
      <c r="V7" s="46"/>
      <c r="W7" s="46"/>
      <c r="X7" s="46"/>
      <c r="Y7" s="46"/>
      <c r="Z7" s="46"/>
      <c r="AA7" s="46"/>
      <c r="AB7" s="46"/>
      <c r="AC7" s="46"/>
      <c r="AD7" s="46"/>
      <c r="AE7" s="47"/>
      <c r="AF7" s="23"/>
      <c r="AG7" s="23"/>
    </row>
    <row r="8" spans="1:33" x14ac:dyDescent="0.25">
      <c r="A8" s="32">
        <f t="shared" si="1"/>
        <v>5</v>
      </c>
      <c r="B8" s="42" t="s">
        <v>70</v>
      </c>
      <c r="C8" s="39" t="s">
        <v>71</v>
      </c>
      <c r="D8" s="39" t="s">
        <v>72</v>
      </c>
      <c r="E8" s="39" t="s">
        <v>51</v>
      </c>
      <c r="F8" s="40" t="s">
        <v>52</v>
      </c>
      <c r="G8" s="40">
        <v>30066</v>
      </c>
      <c r="H8" s="42" t="s">
        <v>73</v>
      </c>
      <c r="I8" s="43" t="s">
        <v>60</v>
      </c>
      <c r="J8" s="71">
        <v>177209</v>
      </c>
      <c r="K8" s="23"/>
      <c r="L8" s="45"/>
      <c r="M8" s="48" t="s">
        <v>40</v>
      </c>
      <c r="N8" s="46"/>
      <c r="O8" s="46"/>
      <c r="P8" s="49" t="str">
        <f>VLOOKUP(MAX(A4:A104),A4:J104,3,)</f>
        <v>Jeremy</v>
      </c>
      <c r="Q8" s="50"/>
      <c r="R8" s="50"/>
      <c r="S8" s="50"/>
      <c r="T8" s="50"/>
      <c r="U8" s="51"/>
      <c r="V8" s="46"/>
      <c r="W8" s="52" t="s">
        <v>43</v>
      </c>
      <c r="X8" s="46"/>
      <c r="Y8" s="49" t="str">
        <f>VLOOKUP(MAX(A4:A104),A4:J104,6,)</f>
        <v>MS</v>
      </c>
      <c r="Z8" s="50"/>
      <c r="AA8" s="50"/>
      <c r="AB8" s="50"/>
      <c r="AC8" s="50"/>
      <c r="AD8" s="51"/>
      <c r="AE8" s="47"/>
      <c r="AF8" s="23"/>
      <c r="AG8" s="23"/>
    </row>
    <row r="9" spans="1:33" x14ac:dyDescent="0.25">
      <c r="A9" s="32">
        <f t="shared" si="1"/>
        <v>6</v>
      </c>
      <c r="B9" s="39" t="s">
        <v>74</v>
      </c>
      <c r="C9" s="39" t="s">
        <v>75</v>
      </c>
      <c r="D9" s="39" t="s">
        <v>76</v>
      </c>
      <c r="E9" s="39" t="s">
        <v>77</v>
      </c>
      <c r="F9" s="40" t="s">
        <v>52</v>
      </c>
      <c r="G9" s="40">
        <v>30092</v>
      </c>
      <c r="H9" s="42" t="s">
        <v>78</v>
      </c>
      <c r="I9" s="43" t="s">
        <v>65</v>
      </c>
      <c r="J9" s="71">
        <v>212254.23</v>
      </c>
      <c r="K9" s="23"/>
      <c r="L9" s="45"/>
      <c r="M9" s="46"/>
      <c r="N9" s="46"/>
      <c r="O9" s="46"/>
      <c r="P9" s="46"/>
      <c r="Q9" s="46"/>
      <c r="R9" s="46"/>
      <c r="S9" s="46"/>
      <c r="T9" s="46"/>
      <c r="U9" s="46"/>
      <c r="V9" s="46"/>
      <c r="W9" s="46"/>
      <c r="X9" s="46"/>
      <c r="Y9" s="46"/>
      <c r="Z9" s="46"/>
      <c r="AA9" s="46"/>
      <c r="AB9" s="46"/>
      <c r="AC9" s="46"/>
      <c r="AD9" s="46"/>
      <c r="AE9" s="47"/>
      <c r="AF9" s="23"/>
      <c r="AG9" s="23"/>
    </row>
    <row r="10" spans="1:33" x14ac:dyDescent="0.25">
      <c r="A10" s="32">
        <f t="shared" si="1"/>
        <v>7</v>
      </c>
      <c r="B10" s="39" t="s">
        <v>79</v>
      </c>
      <c r="C10" s="39" t="s">
        <v>80</v>
      </c>
      <c r="D10" s="39" t="s">
        <v>50</v>
      </c>
      <c r="E10" s="39" t="s">
        <v>81</v>
      </c>
      <c r="F10" s="40" t="s">
        <v>82</v>
      </c>
      <c r="G10" s="40">
        <v>30092</v>
      </c>
      <c r="H10" s="42" t="s">
        <v>53</v>
      </c>
      <c r="I10" s="43" t="s">
        <v>54</v>
      </c>
      <c r="J10" s="71">
        <v>124533.45</v>
      </c>
      <c r="K10" s="23"/>
      <c r="L10" s="45"/>
      <c r="M10" s="48" t="s">
        <v>41</v>
      </c>
      <c r="N10" s="46"/>
      <c r="O10" s="46"/>
      <c r="P10" s="49" t="str">
        <f>VLOOKUP(MAX(A4:A104),A4:J104,4,)</f>
        <v>PO BOX 250</v>
      </c>
      <c r="Q10" s="50"/>
      <c r="R10" s="50"/>
      <c r="S10" s="50"/>
      <c r="T10" s="50"/>
      <c r="U10" s="51"/>
      <c r="V10" s="46"/>
      <c r="W10" s="52" t="s">
        <v>44</v>
      </c>
      <c r="X10" s="46"/>
      <c r="Y10" s="49" t="str">
        <f>TEXT(VLOOKUP(MAX(A4:A104),A4:J104,7,),0)</f>
        <v>38829</v>
      </c>
      <c r="Z10" s="50"/>
      <c r="AA10" s="50"/>
      <c r="AB10" s="50"/>
      <c r="AC10" s="50"/>
      <c r="AD10" s="51"/>
      <c r="AE10" s="47"/>
      <c r="AF10" s="23"/>
      <c r="AG10" s="23"/>
    </row>
    <row r="11" spans="1:33" x14ac:dyDescent="0.25">
      <c r="A11" s="32">
        <f t="shared" si="1"/>
        <v>8</v>
      </c>
      <c r="B11" s="39" t="s">
        <v>103</v>
      </c>
      <c r="C11" s="39" t="s">
        <v>104</v>
      </c>
      <c r="D11" s="39" t="s">
        <v>105</v>
      </c>
      <c r="E11" s="39" t="s">
        <v>106</v>
      </c>
      <c r="F11" s="39" t="s">
        <v>107</v>
      </c>
      <c r="G11" s="39">
        <v>38829</v>
      </c>
      <c r="H11" s="74" t="s">
        <v>108</v>
      </c>
      <c r="I11" s="40" t="s">
        <v>98</v>
      </c>
      <c r="J11" s="75">
        <v>1</v>
      </c>
      <c r="K11" s="23"/>
      <c r="L11" s="45"/>
      <c r="M11" s="46"/>
      <c r="N11" s="46"/>
      <c r="O11" s="46"/>
      <c r="P11" s="46"/>
      <c r="Q11" s="46"/>
      <c r="R11" s="46"/>
      <c r="S11" s="46"/>
      <c r="T11" s="46"/>
      <c r="U11" s="46"/>
      <c r="V11" s="46"/>
      <c r="W11" s="46"/>
      <c r="X11" s="46"/>
      <c r="Y11" s="46"/>
      <c r="Z11" s="46"/>
      <c r="AA11" s="46"/>
      <c r="AB11" s="46"/>
      <c r="AC11" s="46"/>
      <c r="AD11" s="46"/>
      <c r="AE11" s="47"/>
      <c r="AF11" s="23"/>
      <c r="AG11" s="23"/>
    </row>
    <row r="12" spans="1:33" x14ac:dyDescent="0.25">
      <c r="A12" s="32" t="str">
        <f t="shared" si="1"/>
        <v/>
      </c>
      <c r="B12" s="39"/>
      <c r="C12" s="39"/>
      <c r="D12" s="39"/>
      <c r="E12" s="39"/>
      <c r="F12" s="39"/>
      <c r="G12" s="39"/>
      <c r="H12" s="39"/>
      <c r="I12" s="40"/>
      <c r="J12" s="39"/>
      <c r="K12" s="23"/>
      <c r="L12" s="45"/>
      <c r="M12" s="52" t="s">
        <v>45</v>
      </c>
      <c r="N12" s="46"/>
      <c r="O12" s="46"/>
      <c r="P12" s="49" t="str">
        <f>VLOOKUP(MAX(A4:A104),A4:J104,8,)</f>
        <v>662.728.6235</v>
      </c>
      <c r="Q12" s="50"/>
      <c r="R12" s="50"/>
      <c r="S12" s="50"/>
      <c r="T12" s="50"/>
      <c r="U12" s="51"/>
      <c r="V12" s="46"/>
      <c r="W12" s="60" t="s">
        <v>99</v>
      </c>
      <c r="X12" s="46"/>
      <c r="Y12" s="49" t="str">
        <f>VLOOKUP(MAX(A4:A104),A4:J104,9,)</f>
        <v>Plan D</v>
      </c>
      <c r="Z12" s="50"/>
      <c r="AA12" s="50"/>
      <c r="AB12" s="50"/>
      <c r="AC12" s="50"/>
      <c r="AD12" s="51"/>
      <c r="AE12" s="47"/>
      <c r="AF12" s="23"/>
      <c r="AG12" s="23"/>
    </row>
    <row r="13" spans="1:33" x14ac:dyDescent="0.25">
      <c r="A13" s="32" t="str">
        <f t="shared" si="1"/>
        <v/>
      </c>
      <c r="B13" s="39"/>
      <c r="C13" s="39"/>
      <c r="D13" s="39"/>
      <c r="E13" s="39"/>
      <c r="F13" s="39"/>
      <c r="G13" s="39"/>
      <c r="H13" s="39"/>
      <c r="I13" s="40"/>
      <c r="J13" s="39"/>
      <c r="K13" s="23"/>
      <c r="L13" s="45"/>
      <c r="M13" s="46"/>
      <c r="N13" s="46"/>
      <c r="O13" s="46"/>
      <c r="P13" s="46"/>
      <c r="Q13" s="46"/>
      <c r="R13" s="46"/>
      <c r="S13" s="46"/>
      <c r="T13" s="46"/>
      <c r="U13" s="46"/>
      <c r="V13" s="46"/>
      <c r="W13" s="46"/>
      <c r="X13" s="46"/>
      <c r="Y13" s="46"/>
      <c r="Z13" s="46"/>
      <c r="AA13" s="46"/>
      <c r="AB13" s="46"/>
      <c r="AC13" s="46"/>
      <c r="AD13" s="46"/>
      <c r="AE13" s="47"/>
      <c r="AF13" s="23"/>
      <c r="AG13" s="23"/>
    </row>
    <row r="14" spans="1:33" x14ac:dyDescent="0.25">
      <c r="A14" s="32" t="str">
        <f t="shared" si="1"/>
        <v/>
      </c>
      <c r="B14" s="39"/>
      <c r="C14" s="39"/>
      <c r="D14" s="39"/>
      <c r="E14" s="39"/>
      <c r="F14" s="39"/>
      <c r="G14" s="39"/>
      <c r="H14" s="39"/>
      <c r="I14" s="40"/>
      <c r="J14" s="39"/>
      <c r="K14" s="23"/>
      <c r="L14" s="45"/>
      <c r="M14" s="52" t="s">
        <v>90</v>
      </c>
      <c r="N14" s="46"/>
      <c r="O14" s="46"/>
      <c r="P14" s="46"/>
      <c r="Q14" s="46"/>
      <c r="R14" s="46"/>
      <c r="S14" s="46"/>
      <c r="T14" s="46"/>
      <c r="U14" s="46"/>
      <c r="V14" s="46"/>
      <c r="W14" s="46"/>
      <c r="X14" s="46"/>
      <c r="Y14" s="76" t="str">
        <f>TEXT(VLOOKUP(MAX(A4:A104),A4:J104,10,),"$#,###.##")</f>
        <v>$1.</v>
      </c>
      <c r="Z14" s="50"/>
      <c r="AA14" s="50"/>
      <c r="AB14" s="50"/>
      <c r="AC14" s="50"/>
      <c r="AD14" s="51"/>
      <c r="AE14" s="47"/>
      <c r="AF14" s="23"/>
      <c r="AG14" s="23"/>
    </row>
    <row r="15" spans="1:33" x14ac:dyDescent="0.25">
      <c r="A15" s="32" t="str">
        <f t="shared" si="1"/>
        <v/>
      </c>
      <c r="B15" s="39"/>
      <c r="C15" s="39"/>
      <c r="D15" s="39"/>
      <c r="E15" s="39"/>
      <c r="F15" s="39"/>
      <c r="G15" s="39"/>
      <c r="H15" s="39"/>
      <c r="I15" s="40"/>
      <c r="J15" s="39"/>
      <c r="K15" s="23"/>
      <c r="L15" s="45"/>
      <c r="M15" s="46"/>
      <c r="N15" s="46"/>
      <c r="O15" s="46"/>
      <c r="P15" s="46"/>
      <c r="Q15" s="46"/>
      <c r="R15" s="46"/>
      <c r="S15" s="46"/>
      <c r="T15" s="46"/>
      <c r="U15" s="46"/>
      <c r="V15" s="46"/>
      <c r="W15" s="46"/>
      <c r="X15" s="46"/>
      <c r="Y15" s="46"/>
      <c r="Z15" s="46"/>
      <c r="AA15" s="46"/>
      <c r="AB15" s="46"/>
      <c r="AC15" s="46"/>
      <c r="AD15" s="46"/>
      <c r="AE15" s="47"/>
      <c r="AF15" s="23"/>
      <c r="AG15" s="23"/>
    </row>
    <row r="16" spans="1:33" x14ac:dyDescent="0.25">
      <c r="A16" s="32" t="str">
        <f t="shared" si="1"/>
        <v/>
      </c>
      <c r="B16" s="39"/>
      <c r="C16" s="39"/>
      <c r="D16" s="39"/>
      <c r="E16" s="39"/>
      <c r="F16" s="39"/>
      <c r="G16" s="39"/>
      <c r="H16" s="39"/>
      <c r="I16" s="40"/>
      <c r="J16" s="39"/>
      <c r="K16" s="23"/>
      <c r="L16" s="303" t="s">
        <v>91</v>
      </c>
      <c r="M16" s="304"/>
      <c r="N16" s="304"/>
      <c r="O16" s="304"/>
      <c r="P16" s="304"/>
      <c r="Q16" s="304"/>
      <c r="R16" s="304"/>
      <c r="S16" s="304"/>
      <c r="T16" s="304"/>
      <c r="U16" s="304"/>
      <c r="V16" s="304"/>
      <c r="W16" s="304"/>
      <c r="X16" s="304"/>
      <c r="Y16" s="304"/>
      <c r="Z16" s="304"/>
      <c r="AA16" s="304"/>
      <c r="AB16" s="304"/>
      <c r="AC16" s="304"/>
      <c r="AD16" s="304"/>
      <c r="AE16" s="305"/>
      <c r="AF16" s="23"/>
      <c r="AG16" s="23"/>
    </row>
    <row r="17" spans="1:33" ht="16.5" thickBot="1" x14ac:dyDescent="0.3">
      <c r="A17" s="32" t="str">
        <f t="shared" si="1"/>
        <v/>
      </c>
      <c r="B17" s="39"/>
      <c r="C17" s="39"/>
      <c r="D17" s="39"/>
      <c r="E17" s="39"/>
      <c r="F17" s="39"/>
      <c r="G17" s="39"/>
      <c r="H17" s="39"/>
      <c r="I17" s="40"/>
      <c r="J17" s="39"/>
      <c r="K17" s="23"/>
      <c r="L17" s="61"/>
      <c r="M17" s="62"/>
      <c r="N17" s="62"/>
      <c r="O17" s="62"/>
      <c r="P17" s="62"/>
      <c r="Q17" s="62"/>
      <c r="R17" s="62"/>
      <c r="S17" s="62"/>
      <c r="T17" s="62"/>
      <c r="U17" s="62"/>
      <c r="V17" s="62"/>
      <c r="W17" s="62"/>
      <c r="X17" s="62"/>
      <c r="Y17" s="62"/>
      <c r="Z17" s="62"/>
      <c r="AA17" s="62"/>
      <c r="AB17" s="62"/>
      <c r="AC17" s="62"/>
      <c r="AD17" s="62"/>
      <c r="AE17" s="63"/>
      <c r="AF17" s="23"/>
      <c r="AG17" s="23"/>
    </row>
    <row r="18" spans="1:33" x14ac:dyDescent="0.25">
      <c r="A18" s="32" t="str">
        <f t="shared" si="1"/>
        <v/>
      </c>
      <c r="B18" s="39"/>
      <c r="C18" s="39"/>
      <c r="D18" s="39"/>
      <c r="E18" s="39"/>
      <c r="F18" s="39"/>
      <c r="G18" s="39"/>
      <c r="H18" s="39"/>
      <c r="I18" s="40"/>
      <c r="J18" s="39"/>
      <c r="K18" s="23"/>
      <c r="L18" s="23"/>
      <c r="M18" s="23"/>
      <c r="N18" s="23"/>
      <c r="O18" s="23"/>
      <c r="P18" s="23"/>
      <c r="Q18" s="23"/>
      <c r="R18" s="23"/>
      <c r="S18" s="23"/>
      <c r="T18" s="23"/>
      <c r="U18" s="23"/>
      <c r="V18" s="23"/>
      <c r="W18" s="23"/>
      <c r="X18" s="23"/>
      <c r="Y18" s="23"/>
      <c r="Z18" s="23"/>
      <c r="AA18" s="23"/>
      <c r="AB18" s="23"/>
      <c r="AC18" s="23"/>
      <c r="AD18" s="23"/>
      <c r="AE18" s="23"/>
      <c r="AF18" s="23"/>
      <c r="AG18" s="23"/>
    </row>
    <row r="19" spans="1:33" x14ac:dyDescent="0.25">
      <c r="A19" s="32" t="str">
        <f t="shared" si="1"/>
        <v/>
      </c>
      <c r="B19" s="39"/>
      <c r="C19" s="39"/>
      <c r="D19" s="39"/>
      <c r="E19" s="39"/>
      <c r="F19" s="39"/>
      <c r="G19" s="39"/>
      <c r="H19" s="39"/>
      <c r="I19" s="40"/>
      <c r="J19" s="39"/>
      <c r="K19" s="23"/>
      <c r="L19" s="23"/>
      <c r="M19" s="23"/>
      <c r="N19" s="23"/>
      <c r="O19" s="23"/>
      <c r="P19" s="23"/>
      <c r="Q19" s="23"/>
      <c r="R19" s="23"/>
      <c r="S19" s="23"/>
      <c r="T19" s="23"/>
      <c r="U19" s="23"/>
      <c r="V19" s="23"/>
      <c r="W19" s="23"/>
      <c r="X19" s="23"/>
      <c r="Y19" s="23"/>
      <c r="Z19" s="23"/>
      <c r="AA19" s="23"/>
      <c r="AB19" s="23"/>
      <c r="AC19" s="23"/>
      <c r="AD19" s="23"/>
      <c r="AE19" s="23"/>
      <c r="AF19" s="23"/>
      <c r="AG19" s="23"/>
    </row>
    <row r="20" spans="1:33" x14ac:dyDescent="0.25">
      <c r="A20" s="32" t="str">
        <f t="shared" si="1"/>
        <v/>
      </c>
      <c r="B20" s="39"/>
      <c r="C20" s="39"/>
      <c r="D20" s="39"/>
      <c r="E20" s="39"/>
      <c r="F20" s="39"/>
      <c r="G20" s="39"/>
      <c r="H20" s="39"/>
      <c r="I20" s="40"/>
      <c r="J20" s="39"/>
      <c r="K20" s="23"/>
      <c r="L20" s="23"/>
      <c r="M20" s="23"/>
      <c r="N20" s="23"/>
      <c r="O20" s="23"/>
      <c r="P20" s="23"/>
      <c r="Q20" s="23"/>
      <c r="R20" s="23"/>
      <c r="S20" s="23"/>
      <c r="T20" s="23"/>
      <c r="U20" s="23"/>
      <c r="V20" s="23"/>
      <c r="W20" s="23"/>
      <c r="X20" s="23"/>
      <c r="Y20" s="23"/>
      <c r="Z20" s="23"/>
      <c r="AA20" s="23"/>
      <c r="AB20" s="23"/>
      <c r="AC20" s="23"/>
      <c r="AD20" s="23"/>
      <c r="AE20" s="23"/>
      <c r="AF20" s="23"/>
      <c r="AG20" s="23"/>
    </row>
    <row r="21" spans="1:33" x14ac:dyDescent="0.25">
      <c r="A21" s="32" t="str">
        <f t="shared" si="1"/>
        <v/>
      </c>
      <c r="B21" s="39"/>
      <c r="C21" s="39"/>
      <c r="D21" s="39"/>
      <c r="E21" s="39"/>
      <c r="F21" s="39"/>
      <c r="G21" s="39"/>
      <c r="H21" s="39"/>
      <c r="I21" s="40"/>
      <c r="J21" s="39"/>
      <c r="K21" s="23"/>
      <c r="L21" s="23"/>
      <c r="M21" s="23"/>
      <c r="N21" s="23"/>
      <c r="O21" s="23"/>
      <c r="P21" s="23"/>
      <c r="Q21" s="23"/>
      <c r="R21" s="23"/>
      <c r="S21" s="23"/>
      <c r="T21" s="23"/>
      <c r="U21" s="23"/>
      <c r="V21" s="23"/>
      <c r="W21" s="23"/>
      <c r="X21" s="23"/>
      <c r="Y21" s="23"/>
      <c r="Z21" s="23"/>
      <c r="AA21" s="23"/>
      <c r="AB21" s="23"/>
      <c r="AC21" s="23"/>
      <c r="AD21" s="23"/>
      <c r="AE21" s="23"/>
      <c r="AF21" s="23"/>
      <c r="AG21" s="23"/>
    </row>
    <row r="22" spans="1:33" x14ac:dyDescent="0.25">
      <c r="A22" s="32" t="str">
        <f t="shared" si="1"/>
        <v/>
      </c>
      <c r="B22" s="39"/>
      <c r="C22" s="39"/>
      <c r="D22" s="39"/>
      <c r="E22" s="39"/>
      <c r="F22" s="39"/>
      <c r="G22" s="39"/>
      <c r="H22" s="39"/>
      <c r="I22" s="40"/>
      <c r="J22" s="39"/>
      <c r="K22" s="23"/>
      <c r="L22" s="23"/>
      <c r="M22" s="23"/>
      <c r="N22" s="23"/>
      <c r="O22" s="23"/>
      <c r="P22" s="23"/>
      <c r="Q22" s="23"/>
      <c r="R22" s="23"/>
      <c r="S22" s="23"/>
      <c r="T22" s="23"/>
      <c r="U22" s="23"/>
      <c r="V22" s="23"/>
      <c r="W22" s="23"/>
      <c r="X22" s="23"/>
      <c r="Y22" s="23"/>
      <c r="Z22" s="23"/>
      <c r="AA22" s="23"/>
      <c r="AB22" s="23"/>
      <c r="AC22" s="23"/>
      <c r="AD22" s="23"/>
      <c r="AE22" s="23"/>
      <c r="AF22" s="23"/>
      <c r="AG22" s="23"/>
    </row>
    <row r="23" spans="1:33" x14ac:dyDescent="0.25">
      <c r="A23" s="32" t="str">
        <f t="shared" si="1"/>
        <v/>
      </c>
      <c r="B23" s="39"/>
      <c r="C23" s="39"/>
      <c r="D23" s="39"/>
      <c r="E23" s="39"/>
      <c r="F23" s="39"/>
      <c r="G23" s="39"/>
      <c r="H23" s="39"/>
      <c r="I23" s="40"/>
      <c r="J23" s="39"/>
      <c r="K23" s="23"/>
      <c r="L23" s="23"/>
      <c r="M23" s="23"/>
      <c r="N23" s="23"/>
      <c r="O23" s="23"/>
      <c r="P23" s="23"/>
      <c r="Q23" s="23"/>
      <c r="R23" s="23"/>
      <c r="S23" s="23"/>
      <c r="T23" s="23"/>
      <c r="U23" s="23"/>
      <c r="V23" s="23"/>
      <c r="W23" s="23"/>
      <c r="X23" s="23"/>
      <c r="Y23" s="23"/>
      <c r="Z23" s="23"/>
      <c r="AA23" s="23"/>
      <c r="AB23" s="23"/>
      <c r="AC23" s="23"/>
      <c r="AD23" s="23"/>
      <c r="AE23" s="23"/>
      <c r="AF23" s="23"/>
      <c r="AG23" s="23"/>
    </row>
    <row r="24" spans="1:33" x14ac:dyDescent="0.25">
      <c r="A24" s="32" t="str">
        <f t="shared" si="1"/>
        <v/>
      </c>
      <c r="B24" s="39"/>
      <c r="C24" s="39"/>
      <c r="D24" s="39"/>
      <c r="E24" s="39"/>
      <c r="F24" s="39"/>
      <c r="G24" s="39"/>
      <c r="H24" s="39"/>
      <c r="I24" s="40"/>
      <c r="J24" s="39"/>
      <c r="K24" s="23"/>
      <c r="L24" s="23"/>
      <c r="M24" s="23"/>
      <c r="N24" s="23"/>
      <c r="O24" s="23"/>
      <c r="P24" s="23"/>
      <c r="Q24" s="23"/>
      <c r="R24" s="23"/>
      <c r="S24" s="23"/>
      <c r="T24" s="23"/>
      <c r="U24" s="23"/>
      <c r="V24" s="23"/>
      <c r="W24" s="23"/>
      <c r="X24" s="23"/>
      <c r="Y24" s="23"/>
      <c r="Z24" s="23"/>
      <c r="AA24" s="23"/>
      <c r="AB24" s="23"/>
      <c r="AC24" s="23"/>
      <c r="AD24" s="23"/>
      <c r="AE24" s="23"/>
      <c r="AF24" s="23"/>
      <c r="AG24" s="23"/>
    </row>
    <row r="25" spans="1:33" x14ac:dyDescent="0.25">
      <c r="A25" s="32" t="str">
        <f t="shared" si="1"/>
        <v/>
      </c>
      <c r="B25" s="39"/>
      <c r="C25" s="39"/>
      <c r="D25" s="39"/>
      <c r="E25" s="39"/>
      <c r="F25" s="39"/>
      <c r="G25" s="39"/>
      <c r="H25" s="39"/>
      <c r="I25" s="40"/>
      <c r="J25" s="39"/>
      <c r="K25" s="23"/>
      <c r="L25" s="23"/>
      <c r="M25" s="23"/>
      <c r="N25" s="23"/>
      <c r="O25" s="23"/>
      <c r="P25" s="23"/>
      <c r="Q25" s="23"/>
      <c r="R25" s="23"/>
      <c r="S25" s="23"/>
      <c r="T25" s="23"/>
      <c r="U25" s="23"/>
      <c r="V25" s="23"/>
      <c r="W25" s="23"/>
      <c r="X25" s="23"/>
      <c r="Y25" s="23"/>
      <c r="Z25" s="23"/>
      <c r="AA25" s="23"/>
      <c r="AB25" s="23"/>
      <c r="AC25" s="23"/>
      <c r="AD25" s="23"/>
      <c r="AE25" s="23"/>
      <c r="AF25" s="23"/>
      <c r="AG25" s="23"/>
    </row>
    <row r="26" spans="1:33" x14ac:dyDescent="0.25">
      <c r="A26" s="32" t="str">
        <f t="shared" si="1"/>
        <v/>
      </c>
      <c r="B26" s="39"/>
      <c r="C26" s="39"/>
      <c r="D26" s="39"/>
      <c r="E26" s="39"/>
      <c r="F26" s="39"/>
      <c r="G26" s="39"/>
      <c r="H26" s="39"/>
      <c r="I26" s="40"/>
      <c r="J26" s="39"/>
      <c r="K26" s="23"/>
      <c r="L26" s="23"/>
      <c r="M26" s="23"/>
      <c r="N26" s="23"/>
      <c r="O26" s="23"/>
      <c r="P26" s="23"/>
      <c r="Q26" s="23"/>
      <c r="R26" s="23"/>
      <c r="S26" s="23"/>
      <c r="T26" s="23"/>
      <c r="U26" s="23"/>
      <c r="V26" s="23"/>
      <c r="W26" s="23"/>
      <c r="X26" s="23"/>
      <c r="Y26" s="23"/>
      <c r="Z26" s="23"/>
      <c r="AA26" s="23"/>
      <c r="AB26" s="23"/>
      <c r="AC26" s="23"/>
      <c r="AD26" s="23"/>
      <c r="AE26" s="23"/>
      <c r="AF26" s="23"/>
      <c r="AG26" s="23"/>
    </row>
    <row r="27" spans="1:33" x14ac:dyDescent="0.25">
      <c r="A27" s="32" t="str">
        <f t="shared" si="1"/>
        <v/>
      </c>
      <c r="B27" s="39"/>
      <c r="C27" s="39"/>
      <c r="D27" s="39"/>
      <c r="E27" s="39"/>
      <c r="F27" s="39"/>
      <c r="G27" s="39"/>
      <c r="H27" s="39"/>
      <c r="I27" s="40"/>
      <c r="J27" s="39"/>
      <c r="K27" s="23"/>
      <c r="L27" s="23"/>
      <c r="M27" s="23"/>
      <c r="N27" s="23"/>
      <c r="O27" s="23"/>
      <c r="P27" s="23"/>
      <c r="Q27" s="23"/>
      <c r="R27" s="23"/>
      <c r="S27" s="23"/>
      <c r="T27" s="23"/>
      <c r="U27" s="23"/>
      <c r="V27" s="23"/>
      <c r="W27" s="23"/>
      <c r="X27" s="23"/>
      <c r="Y27" s="23"/>
      <c r="Z27" s="23"/>
      <c r="AA27" s="23"/>
      <c r="AB27" s="23"/>
      <c r="AC27" s="23"/>
      <c r="AD27" s="23"/>
      <c r="AE27" s="23"/>
      <c r="AF27" s="23"/>
      <c r="AG27" s="23"/>
    </row>
  </sheetData>
  <mergeCells count="2">
    <mergeCell ref="L4:AE4"/>
    <mergeCell ref="L16:AE16"/>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C29"/>
  <sheetViews>
    <sheetView showGridLines="0" workbookViewId="0">
      <selection activeCell="O1" sqref="O1"/>
    </sheetView>
  </sheetViews>
  <sheetFormatPr defaultRowHeight="15.75" x14ac:dyDescent="0.25"/>
  <cols>
    <col min="1" max="1" width="9.5" customWidth="1"/>
    <col min="2" max="2" width="11.125" customWidth="1"/>
    <col min="3" max="3" width="11.375" customWidth="1"/>
    <col min="4" max="4" width="19" bestFit="1" customWidth="1"/>
    <col min="5" max="5" width="8.375" bestFit="1" customWidth="1"/>
    <col min="6" max="6" width="7" customWidth="1"/>
    <col min="7" max="7" width="6.5" bestFit="1" customWidth="1"/>
    <col min="8" max="8" width="11.875" customWidth="1"/>
    <col min="9" max="9" width="13.25" customWidth="1"/>
    <col min="10" max="10" width="13" bestFit="1" customWidth="1"/>
    <col min="11" max="11" width="3.75" customWidth="1"/>
    <col min="12" max="24" width="3.625" customWidth="1"/>
    <col min="25" max="25" width="15.875" customWidth="1"/>
    <col min="26" max="27" width="3.625" customWidth="1"/>
    <col min="28" max="28" width="3" customWidth="1"/>
    <col min="30" max="31" width="3.625" customWidth="1"/>
    <col min="32" max="32" width="3" customWidth="1"/>
  </cols>
  <sheetData>
    <row r="1" spans="1:29" x14ac:dyDescent="0.25">
      <c r="A1" s="16"/>
      <c r="B1" s="16"/>
      <c r="C1" s="16"/>
      <c r="D1" s="16"/>
      <c r="E1" s="16"/>
      <c r="F1" s="16"/>
      <c r="G1" s="16"/>
      <c r="H1" s="16"/>
      <c r="I1" s="16"/>
      <c r="J1" s="16"/>
      <c r="K1" s="16"/>
      <c r="L1" s="16"/>
      <c r="M1" s="16"/>
      <c r="N1" s="16"/>
      <c r="O1" s="16"/>
      <c r="P1" s="16"/>
      <c r="Q1" s="16"/>
      <c r="R1" s="16"/>
      <c r="S1" s="17">
        <f t="shared" ref="S1:Y1" si="0">VLOOKUP(MAX($A$3:$A$104),$A$3:$H$104,2)</f>
        <v>0</v>
      </c>
      <c r="T1" s="17">
        <f t="shared" si="0"/>
        <v>0</v>
      </c>
      <c r="U1" s="17">
        <f t="shared" si="0"/>
        <v>0</v>
      </c>
      <c r="V1" s="17">
        <f t="shared" si="0"/>
        <v>0</v>
      </c>
      <c r="W1" s="17">
        <f t="shared" si="0"/>
        <v>0</v>
      </c>
      <c r="X1" s="17">
        <f t="shared" si="0"/>
        <v>0</v>
      </c>
      <c r="Y1" s="17">
        <f t="shared" si="0"/>
        <v>0</v>
      </c>
      <c r="Z1" s="18"/>
      <c r="AA1" s="18"/>
      <c r="AB1" s="18"/>
      <c r="AC1" s="18"/>
    </row>
    <row r="2" spans="1:29" ht="16.5" thickBot="1" x14ac:dyDescent="0.3">
      <c r="A2" s="73"/>
      <c r="B2" s="20"/>
      <c r="C2" s="20"/>
      <c r="D2" s="20"/>
      <c r="E2" s="20"/>
      <c r="F2" s="20"/>
      <c r="G2" s="20"/>
      <c r="H2" s="20"/>
      <c r="I2" s="22"/>
      <c r="J2" s="20"/>
      <c r="K2" s="23"/>
      <c r="L2" s="23"/>
      <c r="M2" s="23"/>
      <c r="N2" s="23"/>
      <c r="O2" s="23"/>
      <c r="P2" s="23"/>
      <c r="Q2" s="23"/>
      <c r="R2" s="23"/>
      <c r="S2" s="23"/>
      <c r="T2" s="23"/>
      <c r="U2" s="23"/>
      <c r="V2" s="23"/>
      <c r="W2" s="23"/>
      <c r="X2" s="23"/>
      <c r="Y2" s="23"/>
      <c r="Z2" s="23"/>
      <c r="AA2" s="23"/>
      <c r="AB2" s="23"/>
      <c r="AC2" s="23"/>
    </row>
    <row r="3" spans="1:29" x14ac:dyDescent="0.25">
      <c r="A3" s="26" t="s">
        <v>38</v>
      </c>
      <c r="B3" s="25" t="s">
        <v>39</v>
      </c>
      <c r="C3" s="25" t="s">
        <v>40</v>
      </c>
      <c r="D3" s="25" t="s">
        <v>41</v>
      </c>
      <c r="E3" s="26" t="s">
        <v>42</v>
      </c>
      <c r="F3" s="26" t="s">
        <v>43</v>
      </c>
      <c r="G3" s="26" t="s">
        <v>44</v>
      </c>
      <c r="H3" s="26" t="s">
        <v>45</v>
      </c>
      <c r="I3" s="26" t="s">
        <v>46</v>
      </c>
      <c r="J3" s="28" t="s">
        <v>47</v>
      </c>
      <c r="K3" s="23"/>
      <c r="L3" s="29"/>
      <c r="M3" s="30"/>
      <c r="N3" s="30"/>
      <c r="O3" s="30"/>
      <c r="P3" s="30"/>
      <c r="Q3" s="30"/>
      <c r="R3" s="30"/>
      <c r="S3" s="30"/>
      <c r="T3" s="30"/>
      <c r="U3" s="30"/>
      <c r="V3" s="30"/>
      <c r="W3" s="30"/>
      <c r="X3" s="30"/>
      <c r="Y3" s="30"/>
      <c r="Z3" s="30"/>
      <c r="AA3" s="31"/>
      <c r="AB3" s="23"/>
      <c r="AC3" s="23"/>
    </row>
    <row r="4" spans="1:29" x14ac:dyDescent="0.25">
      <c r="A4" s="32">
        <v>1</v>
      </c>
      <c r="B4" s="33" t="s">
        <v>48</v>
      </c>
      <c r="C4" s="34" t="s">
        <v>49</v>
      </c>
      <c r="D4" s="34" t="s">
        <v>50</v>
      </c>
      <c r="E4" s="34" t="s">
        <v>51</v>
      </c>
      <c r="F4" s="35" t="s">
        <v>52</v>
      </c>
      <c r="G4" s="35">
        <v>30062</v>
      </c>
      <c r="H4" s="33" t="s">
        <v>53</v>
      </c>
      <c r="I4" s="37" t="s">
        <v>54</v>
      </c>
      <c r="J4" s="38">
        <v>157665</v>
      </c>
      <c r="K4" s="23"/>
      <c r="L4" s="300" t="s">
        <v>55</v>
      </c>
      <c r="M4" s="301"/>
      <c r="N4" s="301"/>
      <c r="O4" s="301"/>
      <c r="P4" s="301"/>
      <c r="Q4" s="301"/>
      <c r="R4" s="301"/>
      <c r="S4" s="301"/>
      <c r="T4" s="301"/>
      <c r="U4" s="301"/>
      <c r="V4" s="301"/>
      <c r="W4" s="301"/>
      <c r="X4" s="301"/>
      <c r="Y4" s="301"/>
      <c r="Z4" s="301"/>
      <c r="AA4" s="302"/>
      <c r="AB4" s="23"/>
      <c r="AC4" s="23"/>
    </row>
    <row r="5" spans="1:29" x14ac:dyDescent="0.25">
      <c r="A5" s="32">
        <v>2</v>
      </c>
      <c r="B5" s="39" t="s">
        <v>56</v>
      </c>
      <c r="C5" s="39" t="s">
        <v>57</v>
      </c>
      <c r="D5" s="39" t="s">
        <v>58</v>
      </c>
      <c r="E5" s="39" t="s">
        <v>51</v>
      </c>
      <c r="F5" s="40" t="s">
        <v>52</v>
      </c>
      <c r="G5" s="40">
        <v>30063</v>
      </c>
      <c r="H5" s="42" t="s">
        <v>59</v>
      </c>
      <c r="I5" s="43" t="s">
        <v>60</v>
      </c>
      <c r="J5" s="44">
        <v>156340</v>
      </c>
      <c r="K5" s="23"/>
      <c r="L5" s="45"/>
      <c r="M5" s="46"/>
      <c r="N5" s="46"/>
      <c r="O5" s="46"/>
      <c r="P5" s="46"/>
      <c r="Q5" s="46"/>
      <c r="R5" s="46"/>
      <c r="S5" s="46"/>
      <c r="T5" s="46"/>
      <c r="U5" s="46"/>
      <c r="V5" s="46"/>
      <c r="W5" s="46"/>
      <c r="X5" s="46"/>
      <c r="Y5" s="46"/>
      <c r="Z5" s="46"/>
      <c r="AA5" s="47"/>
      <c r="AB5" s="23"/>
      <c r="AC5" s="23"/>
    </row>
    <row r="6" spans="1:29" x14ac:dyDescent="0.25">
      <c r="A6" s="32">
        <v>3</v>
      </c>
      <c r="B6" s="39" t="s">
        <v>61</v>
      </c>
      <c r="C6" s="42" t="s">
        <v>62</v>
      </c>
      <c r="D6" s="39" t="s">
        <v>63</v>
      </c>
      <c r="E6" s="39" t="s">
        <v>51</v>
      </c>
      <c r="F6" s="40" t="s">
        <v>52</v>
      </c>
      <c r="G6" s="40">
        <v>30064</v>
      </c>
      <c r="H6" s="42" t="s">
        <v>64</v>
      </c>
      <c r="I6" s="43" t="s">
        <v>65</v>
      </c>
      <c r="J6" s="44">
        <v>81480</v>
      </c>
      <c r="K6" s="23"/>
      <c r="L6" s="45"/>
      <c r="M6" s="48" t="s">
        <v>39</v>
      </c>
      <c r="N6" s="46"/>
      <c r="O6" s="46"/>
      <c r="P6" s="76" t="str">
        <f>+INDEX(B:B, COUNTA(B:B)+1,1)</f>
        <v>Collins</v>
      </c>
      <c r="Q6" s="50"/>
      <c r="R6" s="50"/>
      <c r="S6" s="50"/>
      <c r="T6" s="50"/>
      <c r="U6" s="51"/>
      <c r="V6" s="46"/>
      <c r="W6" s="52" t="s">
        <v>42</v>
      </c>
      <c r="X6" s="46"/>
      <c r="Y6" s="49" t="str">
        <f>+INDEX(E:E,COUNTA(E:E)+1,1)</f>
        <v>Norcross</v>
      </c>
      <c r="Z6" s="51"/>
      <c r="AA6" s="47"/>
      <c r="AB6" s="23"/>
      <c r="AC6" s="23"/>
    </row>
    <row r="7" spans="1:29" x14ac:dyDescent="0.25">
      <c r="A7" s="32">
        <v>4</v>
      </c>
      <c r="B7" s="39" t="s">
        <v>66</v>
      </c>
      <c r="C7" s="42" t="s">
        <v>67</v>
      </c>
      <c r="D7" s="39" t="s">
        <v>68</v>
      </c>
      <c r="E7" s="39" t="s">
        <v>51</v>
      </c>
      <c r="F7" s="40" t="s">
        <v>52</v>
      </c>
      <c r="G7" s="40">
        <v>30065</v>
      </c>
      <c r="H7" s="42" t="s">
        <v>69</v>
      </c>
      <c r="I7" s="43" t="s">
        <v>54</v>
      </c>
      <c r="J7" s="44">
        <v>202578</v>
      </c>
      <c r="K7" s="23"/>
      <c r="L7" s="45"/>
      <c r="M7" s="46"/>
      <c r="N7" s="46"/>
      <c r="O7" s="46"/>
      <c r="P7" s="46"/>
      <c r="Q7" s="46"/>
      <c r="R7" s="46"/>
      <c r="S7" s="46"/>
      <c r="T7" s="46"/>
      <c r="U7" s="46"/>
      <c r="V7" s="46"/>
      <c r="W7" s="46"/>
      <c r="X7" s="46"/>
      <c r="Y7" s="46"/>
      <c r="Z7" s="46"/>
      <c r="AA7" s="47"/>
      <c r="AB7" s="23"/>
      <c r="AC7" s="23"/>
    </row>
    <row r="8" spans="1:29" x14ac:dyDescent="0.25">
      <c r="A8" s="32">
        <v>5</v>
      </c>
      <c r="B8" s="42" t="s">
        <v>70</v>
      </c>
      <c r="C8" s="39" t="s">
        <v>71</v>
      </c>
      <c r="D8" s="39" t="s">
        <v>72</v>
      </c>
      <c r="E8" s="39" t="s">
        <v>51</v>
      </c>
      <c r="F8" s="40" t="s">
        <v>52</v>
      </c>
      <c r="G8" s="40">
        <v>30066</v>
      </c>
      <c r="H8" s="42" t="s">
        <v>73</v>
      </c>
      <c r="I8" s="43" t="s">
        <v>60</v>
      </c>
      <c r="J8" s="44">
        <v>177209</v>
      </c>
      <c r="K8" s="23"/>
      <c r="L8" s="45"/>
      <c r="M8" s="48" t="s">
        <v>40</v>
      </c>
      <c r="N8" s="46"/>
      <c r="O8" s="46"/>
      <c r="P8" s="49" t="str">
        <f>+INDEX(C:C,COUNTA(C:C)+1,1)</f>
        <v>Carlton</v>
      </c>
      <c r="Q8" s="50"/>
      <c r="R8" s="50"/>
      <c r="S8" s="50"/>
      <c r="T8" s="50"/>
      <c r="U8" s="51"/>
      <c r="V8" s="46"/>
      <c r="W8" s="52" t="s">
        <v>43</v>
      </c>
      <c r="X8" s="46"/>
      <c r="Y8" s="49" t="str">
        <f>+INDEX(F:F,COUNTA(F:F)+1,1)</f>
        <v xml:space="preserve">GA </v>
      </c>
      <c r="Z8" s="51"/>
      <c r="AA8" s="47"/>
      <c r="AB8" s="23"/>
      <c r="AC8" s="23"/>
    </row>
    <row r="9" spans="1:29" x14ac:dyDescent="0.25">
      <c r="A9" s="32">
        <v>6</v>
      </c>
      <c r="B9" s="39" t="s">
        <v>74</v>
      </c>
      <c r="C9" s="39" t="s">
        <v>75</v>
      </c>
      <c r="D9" s="39" t="s">
        <v>76</v>
      </c>
      <c r="E9" s="39" t="s">
        <v>77</v>
      </c>
      <c r="F9" s="40" t="s">
        <v>52</v>
      </c>
      <c r="G9" s="40">
        <v>30092</v>
      </c>
      <c r="H9" s="42" t="s">
        <v>78</v>
      </c>
      <c r="I9" s="43" t="s">
        <v>65</v>
      </c>
      <c r="J9" s="44">
        <v>212254.23</v>
      </c>
      <c r="K9" s="23"/>
      <c r="L9" s="45"/>
      <c r="M9" s="46"/>
      <c r="N9" s="46"/>
      <c r="O9" s="46"/>
      <c r="P9" s="46"/>
      <c r="Q9" s="46"/>
      <c r="R9" s="46"/>
      <c r="S9" s="46"/>
      <c r="T9" s="46"/>
      <c r="U9" s="46"/>
      <c r="V9" s="46"/>
      <c r="W9" s="46"/>
      <c r="X9" s="46"/>
      <c r="Y9" s="46"/>
      <c r="Z9" s="46"/>
      <c r="AA9" s="47"/>
      <c r="AB9" s="23"/>
      <c r="AC9" s="23"/>
    </row>
    <row r="10" spans="1:29" x14ac:dyDescent="0.25">
      <c r="A10" s="32">
        <v>7</v>
      </c>
      <c r="B10" s="39" t="s">
        <v>79</v>
      </c>
      <c r="C10" s="39" t="s">
        <v>80</v>
      </c>
      <c r="D10" s="39" t="s">
        <v>50</v>
      </c>
      <c r="E10" s="39" t="s">
        <v>81</v>
      </c>
      <c r="F10" s="40" t="s">
        <v>82</v>
      </c>
      <c r="G10" s="40">
        <v>30092</v>
      </c>
      <c r="H10" s="42" t="s">
        <v>53</v>
      </c>
      <c r="I10" s="43" t="s">
        <v>54</v>
      </c>
      <c r="J10" s="44">
        <v>124533.45</v>
      </c>
      <c r="K10" s="23"/>
      <c r="L10" s="45"/>
      <c r="M10" s="48" t="s">
        <v>41</v>
      </c>
      <c r="N10" s="46"/>
      <c r="O10" s="46"/>
      <c r="P10" s="49" t="str">
        <f>+INDEX(D:D,COUNTA(D:D)+1,1)</f>
        <v>100 Peachtree Street</v>
      </c>
      <c r="Q10" s="50"/>
      <c r="R10" s="50"/>
      <c r="S10" s="50"/>
      <c r="T10" s="50"/>
      <c r="U10" s="51"/>
      <c r="V10" s="46"/>
      <c r="W10" s="52" t="s">
        <v>44</v>
      </c>
      <c r="X10" s="46"/>
      <c r="Y10" s="77">
        <f>+INDEX(G:G,COUNTA(G:G)+1,1)</f>
        <v>30092</v>
      </c>
      <c r="Z10" s="51"/>
      <c r="AA10" s="47"/>
      <c r="AB10" s="23"/>
      <c r="AC10" s="23"/>
    </row>
    <row r="11" spans="1:29" x14ac:dyDescent="0.25">
      <c r="A11" s="32">
        <v>8</v>
      </c>
      <c r="B11" s="39" t="s">
        <v>112</v>
      </c>
      <c r="C11" s="39" t="s">
        <v>113</v>
      </c>
      <c r="D11" s="39" t="s">
        <v>114</v>
      </c>
      <c r="E11" s="39" t="s">
        <v>115</v>
      </c>
      <c r="F11" s="40" t="s">
        <v>116</v>
      </c>
      <c r="G11" s="40">
        <v>17936</v>
      </c>
      <c r="H11" s="42" t="s">
        <v>117</v>
      </c>
      <c r="I11" s="43" t="s">
        <v>98</v>
      </c>
      <c r="J11" s="44">
        <v>84.72</v>
      </c>
      <c r="K11" s="23"/>
      <c r="L11" s="45"/>
      <c r="M11" s="46"/>
      <c r="N11" s="46"/>
      <c r="O11" s="46"/>
      <c r="P11" s="46"/>
      <c r="Q11" s="46"/>
      <c r="R11" s="46"/>
      <c r="S11" s="46"/>
      <c r="T11" s="46"/>
      <c r="U11" s="46"/>
      <c r="V11" s="46"/>
      <c r="W11" s="46"/>
      <c r="X11" s="46"/>
      <c r="Y11" s="46"/>
      <c r="Z11" s="46"/>
      <c r="AA11" s="47"/>
      <c r="AB11" s="23"/>
      <c r="AC11" s="23"/>
    </row>
    <row r="12" spans="1:29" x14ac:dyDescent="0.25">
      <c r="A12" s="32">
        <v>9</v>
      </c>
      <c r="B12" s="39"/>
      <c r="C12" s="39"/>
      <c r="D12" s="39"/>
      <c r="E12" s="39"/>
      <c r="F12" s="40"/>
      <c r="G12" s="40"/>
      <c r="H12" s="42"/>
      <c r="I12" s="43"/>
      <c r="J12" s="44"/>
      <c r="K12" s="23"/>
      <c r="L12" s="45"/>
      <c r="M12" s="52" t="s">
        <v>45</v>
      </c>
      <c r="N12" s="46"/>
      <c r="O12" s="46"/>
      <c r="P12" s="49" t="str">
        <f>+INDEX(H:H,COUNTA(H:H)+1,1)</f>
        <v>770.842.5902</v>
      </c>
      <c r="Q12" s="50"/>
      <c r="R12" s="50"/>
      <c r="S12" s="50"/>
      <c r="T12" s="50"/>
      <c r="U12" s="51"/>
      <c r="V12" s="46"/>
      <c r="W12" s="60" t="s">
        <v>99</v>
      </c>
      <c r="X12" s="46"/>
      <c r="Y12" s="77" t="str">
        <f>+INDEX(I:I,COUNTA(I:I)+1,1)</f>
        <v>Plan A</v>
      </c>
      <c r="Z12" s="51"/>
      <c r="AA12" s="47"/>
      <c r="AB12" s="23"/>
      <c r="AC12" s="23"/>
    </row>
    <row r="13" spans="1:29" x14ac:dyDescent="0.25">
      <c r="A13" s="32">
        <v>10</v>
      </c>
      <c r="B13" s="39"/>
      <c r="C13" s="39"/>
      <c r="D13" s="39"/>
      <c r="E13" s="39"/>
      <c r="F13" s="40"/>
      <c r="G13" s="40"/>
      <c r="H13" s="42"/>
      <c r="I13" s="43"/>
      <c r="J13" s="44"/>
      <c r="K13" s="23"/>
      <c r="L13" s="45"/>
      <c r="M13" s="46"/>
      <c r="N13" s="46"/>
      <c r="O13" s="46"/>
      <c r="P13" s="46"/>
      <c r="Q13" s="46"/>
      <c r="R13" s="46"/>
      <c r="S13" s="46"/>
      <c r="T13" s="46"/>
      <c r="U13" s="46"/>
      <c r="V13" s="46"/>
      <c r="W13" s="46"/>
      <c r="X13" s="46"/>
      <c r="Y13" s="46"/>
      <c r="Z13" s="46"/>
      <c r="AA13" s="47"/>
      <c r="AB13" s="23"/>
      <c r="AC13" s="23"/>
    </row>
    <row r="14" spans="1:29" x14ac:dyDescent="0.25">
      <c r="A14" s="32">
        <v>11</v>
      </c>
      <c r="B14" s="39"/>
      <c r="C14" s="39"/>
      <c r="D14" s="39"/>
      <c r="E14" s="39"/>
      <c r="F14" s="40"/>
      <c r="G14" s="40"/>
      <c r="H14" s="42"/>
      <c r="I14" s="43"/>
      <c r="J14" s="44"/>
      <c r="K14" s="23"/>
      <c r="L14" s="45"/>
      <c r="M14" s="52" t="s">
        <v>90</v>
      </c>
      <c r="N14" s="46"/>
      <c r="O14" s="46"/>
      <c r="P14" s="46"/>
      <c r="Q14" s="46"/>
      <c r="R14" s="46"/>
      <c r="S14" s="46"/>
      <c r="T14" s="46"/>
      <c r="U14" s="46"/>
      <c r="V14" s="46"/>
      <c r="W14" s="46"/>
      <c r="X14" s="46"/>
      <c r="Y14" s="78">
        <f>+INDEX(J:J,COUNTA(J:J)+1,1)</f>
        <v>124533.45</v>
      </c>
      <c r="Z14" s="51"/>
      <c r="AA14" s="47"/>
      <c r="AB14" s="23"/>
      <c r="AC14" s="23"/>
    </row>
    <row r="15" spans="1:29" x14ac:dyDescent="0.25">
      <c r="A15" s="32">
        <v>12</v>
      </c>
      <c r="B15" s="39"/>
      <c r="C15" s="39"/>
      <c r="D15" s="39"/>
      <c r="E15" s="39"/>
      <c r="F15" s="40"/>
      <c r="G15" s="40"/>
      <c r="H15" s="42"/>
      <c r="I15" s="43"/>
      <c r="J15" s="44"/>
      <c r="K15" s="23"/>
      <c r="L15" s="45"/>
      <c r="M15" s="46"/>
      <c r="N15" s="46"/>
      <c r="O15" s="46"/>
      <c r="P15" s="46"/>
      <c r="Q15" s="46"/>
      <c r="R15" s="46"/>
      <c r="S15" s="46"/>
      <c r="T15" s="46"/>
      <c r="U15" s="46"/>
      <c r="V15" s="46"/>
      <c r="W15" s="46"/>
      <c r="X15" s="46"/>
      <c r="Y15" s="46"/>
      <c r="Z15" s="46"/>
      <c r="AA15" s="47"/>
      <c r="AB15" s="23"/>
      <c r="AC15" s="23"/>
    </row>
    <row r="16" spans="1:29" x14ac:dyDescent="0.25">
      <c r="A16" s="32">
        <v>13</v>
      </c>
      <c r="B16" s="39"/>
      <c r="C16" s="39"/>
      <c r="D16" s="39"/>
      <c r="E16" s="39"/>
      <c r="F16" s="40"/>
      <c r="G16" s="40"/>
      <c r="H16" s="42"/>
      <c r="I16" s="43"/>
      <c r="J16" s="44"/>
      <c r="K16" s="23"/>
      <c r="L16" s="303" t="s">
        <v>91</v>
      </c>
      <c r="M16" s="304"/>
      <c r="N16" s="304"/>
      <c r="O16" s="304"/>
      <c r="P16" s="304"/>
      <c r="Q16" s="304"/>
      <c r="R16" s="304"/>
      <c r="S16" s="304"/>
      <c r="T16" s="304"/>
      <c r="U16" s="304"/>
      <c r="V16" s="304"/>
      <c r="W16" s="304"/>
      <c r="X16" s="304"/>
      <c r="Y16" s="304"/>
      <c r="Z16" s="304"/>
      <c r="AA16" s="305"/>
      <c r="AB16" s="23"/>
      <c r="AC16" s="23"/>
    </row>
    <row r="17" spans="1:29" ht="16.5" thickBot="1" x14ac:dyDescent="0.3">
      <c r="A17" s="32">
        <v>14</v>
      </c>
      <c r="B17" s="39"/>
      <c r="C17" s="39"/>
      <c r="D17" s="39"/>
      <c r="E17" s="39"/>
      <c r="F17" s="40"/>
      <c r="G17" s="40"/>
      <c r="H17" s="42"/>
      <c r="I17" s="43"/>
      <c r="J17" s="44"/>
      <c r="K17" s="23"/>
      <c r="L17" s="61"/>
      <c r="M17" s="62"/>
      <c r="N17" s="62"/>
      <c r="O17" s="62"/>
      <c r="P17" s="62"/>
      <c r="Q17" s="62"/>
      <c r="R17" s="62"/>
      <c r="S17" s="62"/>
      <c r="T17" s="62"/>
      <c r="U17" s="62"/>
      <c r="V17" s="62"/>
      <c r="W17" s="62"/>
      <c r="X17" s="62"/>
      <c r="Y17" s="62"/>
      <c r="Z17" s="62"/>
      <c r="AA17" s="63"/>
      <c r="AB17" s="23"/>
      <c r="AC17" s="23"/>
    </row>
    <row r="18" spans="1:29" x14ac:dyDescent="0.25">
      <c r="A18" s="32">
        <v>15</v>
      </c>
      <c r="B18" s="39"/>
      <c r="C18" s="39"/>
      <c r="D18" s="39"/>
      <c r="E18" s="39"/>
      <c r="F18" s="40"/>
      <c r="G18" s="40"/>
      <c r="H18" s="42"/>
      <c r="I18" s="43"/>
      <c r="J18" s="44"/>
      <c r="K18" s="23"/>
      <c r="L18" s="23"/>
      <c r="M18" s="23"/>
      <c r="N18" s="23"/>
      <c r="O18" s="23"/>
      <c r="P18" s="23"/>
      <c r="Q18" s="23"/>
      <c r="R18" s="23"/>
      <c r="S18" s="23"/>
      <c r="T18" s="23"/>
      <c r="U18" s="23"/>
      <c r="V18" s="23"/>
      <c r="W18" s="23"/>
      <c r="X18" s="23"/>
      <c r="Y18" s="23"/>
      <c r="Z18" s="23"/>
      <c r="AA18" s="23"/>
      <c r="AB18" s="23"/>
      <c r="AC18" s="23"/>
    </row>
    <row r="19" spans="1:29" x14ac:dyDescent="0.25">
      <c r="A19" s="32">
        <v>16</v>
      </c>
      <c r="B19" s="39"/>
      <c r="C19" s="39"/>
      <c r="D19" s="39"/>
      <c r="E19" s="39"/>
      <c r="F19" s="40"/>
      <c r="G19" s="40"/>
      <c r="H19" s="42"/>
      <c r="I19" s="43"/>
      <c r="J19" s="44"/>
      <c r="K19" s="23"/>
      <c r="L19" s="23"/>
      <c r="M19" s="23"/>
      <c r="N19" s="23"/>
      <c r="O19" s="23"/>
      <c r="P19" s="23"/>
      <c r="Q19" s="23"/>
      <c r="R19" s="23"/>
      <c r="S19" s="23"/>
      <c r="T19" s="23"/>
      <c r="U19" s="23"/>
      <c r="V19" s="23"/>
      <c r="W19" s="23"/>
      <c r="X19" s="23"/>
      <c r="Y19" s="23"/>
      <c r="Z19" s="23"/>
      <c r="AA19" s="23"/>
      <c r="AB19" s="23"/>
      <c r="AC19" s="23"/>
    </row>
    <row r="20" spans="1:29" x14ac:dyDescent="0.25">
      <c r="A20" s="32">
        <v>17</v>
      </c>
      <c r="B20" s="39"/>
      <c r="C20" s="39"/>
      <c r="D20" s="39"/>
      <c r="E20" s="39"/>
      <c r="F20" s="40"/>
      <c r="G20" s="40"/>
      <c r="H20" s="42"/>
      <c r="I20" s="43"/>
      <c r="J20" s="44"/>
      <c r="K20" s="23"/>
      <c r="L20" s="23"/>
      <c r="M20" s="23"/>
      <c r="N20" s="23"/>
      <c r="O20" s="23"/>
      <c r="P20" s="23"/>
      <c r="Q20" s="23"/>
      <c r="R20" s="23"/>
      <c r="S20" s="23"/>
      <c r="T20" s="23"/>
      <c r="U20" s="23"/>
      <c r="V20" s="23"/>
      <c r="W20" s="23"/>
      <c r="X20" s="23"/>
      <c r="Y20" s="23"/>
      <c r="Z20" s="23"/>
      <c r="AA20" s="23"/>
      <c r="AB20" s="23"/>
      <c r="AC20" s="23"/>
    </row>
    <row r="21" spans="1:29" x14ac:dyDescent="0.25">
      <c r="A21" s="32">
        <v>18</v>
      </c>
      <c r="B21" s="39"/>
      <c r="C21" s="39"/>
      <c r="D21" s="39"/>
      <c r="E21" s="39"/>
      <c r="F21" s="40"/>
      <c r="G21" s="40"/>
      <c r="H21" s="42"/>
      <c r="I21" s="43"/>
      <c r="J21" s="44"/>
      <c r="K21" s="23"/>
      <c r="L21" s="23"/>
      <c r="M21" s="23"/>
      <c r="N21" s="23"/>
      <c r="O21" s="23"/>
      <c r="P21" s="23"/>
      <c r="Q21" s="23"/>
      <c r="R21" s="23"/>
      <c r="S21" s="23"/>
      <c r="T21" s="23"/>
      <c r="U21" s="23"/>
      <c r="V21" s="23"/>
      <c r="W21" s="23"/>
      <c r="X21" s="23"/>
      <c r="Y21" s="23"/>
      <c r="Z21" s="23"/>
      <c r="AA21" s="23"/>
      <c r="AB21" s="23"/>
      <c r="AC21" s="23"/>
    </row>
    <row r="22" spans="1:29" x14ac:dyDescent="0.25">
      <c r="A22" s="32">
        <v>19</v>
      </c>
      <c r="B22" s="39"/>
      <c r="C22" s="39"/>
      <c r="D22" s="39"/>
      <c r="E22" s="39"/>
      <c r="F22" s="40"/>
      <c r="G22" s="40"/>
      <c r="H22" s="42"/>
      <c r="I22" s="43"/>
      <c r="J22" s="44"/>
      <c r="K22" s="23"/>
      <c r="L22" s="23"/>
      <c r="M22" s="23"/>
      <c r="N22" s="23"/>
      <c r="O22" s="23"/>
      <c r="P22" s="23"/>
      <c r="Q22" s="23"/>
      <c r="R22" s="23"/>
      <c r="S22" s="23"/>
      <c r="T22" s="23"/>
      <c r="U22" s="23"/>
      <c r="V22" s="23"/>
      <c r="W22" s="23"/>
      <c r="X22" s="23"/>
      <c r="Y22" s="23"/>
      <c r="Z22" s="23"/>
      <c r="AA22" s="23"/>
      <c r="AB22" s="23"/>
      <c r="AC22" s="23"/>
    </row>
    <row r="23" spans="1:29" x14ac:dyDescent="0.25">
      <c r="A23" s="32">
        <v>20</v>
      </c>
      <c r="B23" s="39"/>
      <c r="C23" s="39"/>
      <c r="D23" s="39"/>
      <c r="E23" s="39"/>
      <c r="F23" s="40"/>
      <c r="G23" s="40"/>
      <c r="H23" s="42"/>
      <c r="I23" s="43"/>
      <c r="J23" s="44"/>
      <c r="K23" s="23"/>
      <c r="L23" s="23"/>
      <c r="M23" s="23"/>
      <c r="N23" s="23"/>
      <c r="O23" s="23"/>
      <c r="P23" s="23"/>
      <c r="Q23" s="23"/>
      <c r="R23" s="23"/>
      <c r="S23" s="23"/>
      <c r="T23" s="23"/>
      <c r="U23" s="23"/>
      <c r="V23" s="23"/>
      <c r="W23" s="23"/>
      <c r="X23" s="23"/>
      <c r="Y23" s="23"/>
      <c r="Z23" s="23"/>
      <c r="AA23" s="23"/>
      <c r="AB23" s="23"/>
      <c r="AC23" s="23"/>
    </row>
    <row r="24" spans="1:29" x14ac:dyDescent="0.25">
      <c r="A24" s="32">
        <v>21</v>
      </c>
      <c r="B24" s="39"/>
      <c r="C24" s="39"/>
      <c r="D24" s="39"/>
      <c r="E24" s="39"/>
      <c r="F24" s="40"/>
      <c r="G24" s="40"/>
      <c r="H24" s="42"/>
      <c r="I24" s="43"/>
      <c r="J24" s="44"/>
      <c r="K24" s="23"/>
      <c r="L24" s="23"/>
      <c r="M24" s="23"/>
      <c r="N24" s="23"/>
      <c r="O24" s="23"/>
      <c r="P24" s="23"/>
      <c r="Q24" s="23"/>
      <c r="R24" s="23"/>
      <c r="S24" s="23"/>
      <c r="T24" s="23"/>
      <c r="U24" s="23"/>
      <c r="V24" s="23"/>
      <c r="W24" s="23"/>
      <c r="X24" s="23"/>
      <c r="Y24" s="23"/>
      <c r="Z24" s="23"/>
      <c r="AA24" s="23"/>
      <c r="AB24" s="23"/>
      <c r="AC24" s="23"/>
    </row>
    <row r="25" spans="1:29" x14ac:dyDescent="0.25">
      <c r="A25" s="32">
        <v>22</v>
      </c>
      <c r="B25" s="39"/>
      <c r="C25" s="39"/>
      <c r="D25" s="39"/>
      <c r="E25" s="39"/>
      <c r="F25" s="40"/>
      <c r="G25" s="40"/>
      <c r="H25" s="42"/>
      <c r="I25" s="43"/>
      <c r="J25" s="44"/>
      <c r="K25" s="23"/>
      <c r="L25" s="23"/>
      <c r="M25" s="23"/>
      <c r="N25" s="23"/>
      <c r="O25" s="23"/>
      <c r="P25" s="23"/>
      <c r="Q25" s="23"/>
      <c r="R25" s="23"/>
      <c r="S25" s="23"/>
      <c r="T25" s="23"/>
      <c r="U25" s="23"/>
      <c r="V25" s="23"/>
      <c r="W25" s="23"/>
      <c r="X25" s="23"/>
      <c r="Y25" s="23"/>
      <c r="Z25" s="23"/>
      <c r="AA25" s="23"/>
      <c r="AB25" s="23"/>
      <c r="AC25" s="23"/>
    </row>
    <row r="26" spans="1:29" x14ac:dyDescent="0.25">
      <c r="A26" s="32">
        <v>23</v>
      </c>
      <c r="B26" s="39"/>
      <c r="C26" s="39"/>
      <c r="D26" s="39"/>
      <c r="E26" s="39"/>
      <c r="F26" s="40"/>
      <c r="G26" s="40"/>
      <c r="H26" s="42"/>
      <c r="I26" s="43"/>
      <c r="J26" s="44"/>
      <c r="K26" s="23"/>
      <c r="L26" s="23"/>
      <c r="M26" s="23"/>
      <c r="N26" s="23"/>
      <c r="O26" s="23"/>
      <c r="P26" s="23"/>
      <c r="Q26" s="23"/>
      <c r="R26" s="23"/>
      <c r="S26" s="23"/>
      <c r="T26" s="23"/>
      <c r="U26" s="23"/>
      <c r="V26" s="23"/>
      <c r="W26" s="23"/>
      <c r="X26" s="23"/>
      <c r="Y26" s="23"/>
      <c r="Z26" s="23"/>
      <c r="AA26" s="23"/>
      <c r="AB26" s="23"/>
      <c r="AC26" s="23"/>
    </row>
    <row r="27" spans="1:29" x14ac:dyDescent="0.25">
      <c r="A27" s="32">
        <v>24</v>
      </c>
      <c r="B27" s="39"/>
      <c r="C27" s="39"/>
      <c r="D27" s="39"/>
      <c r="E27" s="39"/>
      <c r="F27" s="40"/>
      <c r="G27" s="40"/>
      <c r="H27" s="42"/>
      <c r="I27" s="43"/>
      <c r="J27" s="44"/>
      <c r="K27" s="23"/>
      <c r="L27" s="23"/>
      <c r="M27" s="23"/>
      <c r="N27" s="23"/>
      <c r="O27" s="23"/>
      <c r="P27" s="23"/>
      <c r="Q27" s="23"/>
      <c r="R27" s="23"/>
      <c r="S27" s="23"/>
      <c r="T27" s="23"/>
      <c r="U27" s="23"/>
      <c r="V27" s="23"/>
      <c r="W27" s="23"/>
      <c r="X27" s="23"/>
      <c r="Y27" s="23"/>
      <c r="Z27" s="23"/>
      <c r="AA27" s="23"/>
      <c r="AB27" s="23"/>
      <c r="AC27" s="23"/>
    </row>
    <row r="28" spans="1:29" x14ac:dyDescent="0.25">
      <c r="A28" s="32">
        <v>25</v>
      </c>
      <c r="B28" s="39"/>
      <c r="C28" s="39"/>
      <c r="D28" s="39"/>
      <c r="E28" s="39"/>
      <c r="F28" s="40"/>
      <c r="G28" s="40"/>
      <c r="H28" s="42"/>
      <c r="I28" s="43"/>
      <c r="J28" s="44"/>
      <c r="K28" s="23"/>
      <c r="L28" s="23"/>
      <c r="M28" s="23"/>
      <c r="N28" s="23"/>
      <c r="O28" s="23"/>
      <c r="P28" s="23"/>
      <c r="Q28" s="23"/>
      <c r="R28" s="23"/>
      <c r="S28" s="23"/>
      <c r="T28" s="23"/>
      <c r="U28" s="23"/>
      <c r="V28" s="23"/>
      <c r="W28" s="23"/>
      <c r="X28" s="23"/>
      <c r="Y28" s="23"/>
      <c r="Z28" s="23"/>
      <c r="AA28" s="23"/>
      <c r="AB28" s="23"/>
      <c r="AC28" s="23"/>
    </row>
    <row r="29" spans="1:29" x14ac:dyDescent="0.25">
      <c r="A29" s="32">
        <v>26</v>
      </c>
      <c r="B29" s="39"/>
      <c r="C29" s="39"/>
      <c r="D29" s="39"/>
      <c r="E29" s="39"/>
      <c r="F29" s="40"/>
      <c r="G29" s="40"/>
      <c r="H29" s="42"/>
      <c r="I29" s="43"/>
      <c r="J29" s="44"/>
      <c r="K29" s="23"/>
      <c r="L29" s="23"/>
      <c r="M29" s="23"/>
      <c r="N29" s="23"/>
      <c r="O29" s="23"/>
      <c r="P29" s="23"/>
      <c r="Q29" s="23"/>
      <c r="R29" s="23"/>
      <c r="S29" s="23"/>
      <c r="T29" s="23"/>
      <c r="U29" s="23"/>
      <c r="V29" s="23"/>
      <c r="W29" s="23"/>
      <c r="X29" s="23"/>
      <c r="Y29" s="23"/>
      <c r="Z29" s="23"/>
      <c r="AA29" s="23"/>
      <c r="AB29" s="23"/>
      <c r="AC29" s="23"/>
    </row>
  </sheetData>
  <mergeCells count="2">
    <mergeCell ref="L4:AA4"/>
    <mergeCell ref="L16:AA16"/>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H29"/>
  <sheetViews>
    <sheetView showGridLines="0" workbookViewId="0">
      <selection activeCell="S1" sqref="S1"/>
    </sheetView>
  </sheetViews>
  <sheetFormatPr defaultRowHeight="15.75" x14ac:dyDescent="0.25"/>
  <cols>
    <col min="1" max="1" width="7.875" bestFit="1" customWidth="1"/>
    <col min="2" max="2" width="3.75" customWidth="1"/>
    <col min="3" max="4" width="10" bestFit="1" customWidth="1"/>
    <col min="5" max="5" width="19" bestFit="1" customWidth="1"/>
    <col min="6" max="6" width="8.375" bestFit="1" customWidth="1"/>
    <col min="7" max="7" width="5.375" bestFit="1" customWidth="1"/>
    <col min="8" max="8" width="5.875" bestFit="1" customWidth="1"/>
    <col min="9" max="9" width="11.875" bestFit="1" customWidth="1"/>
    <col min="10" max="10" width="11.875" customWidth="1"/>
    <col min="11" max="11" width="12.125" bestFit="1" customWidth="1"/>
    <col min="12" max="12" width="2.75" customWidth="1"/>
    <col min="13" max="32" width="3.625" customWidth="1"/>
    <col min="33" max="33" width="3" customWidth="1"/>
  </cols>
  <sheetData>
    <row r="1" spans="1:34" ht="16.5" thickBot="1" x14ac:dyDescent="0.3">
      <c r="A1" s="16"/>
      <c r="B1" s="16"/>
      <c r="C1" s="16"/>
      <c r="D1" s="16"/>
      <c r="E1" s="16"/>
      <c r="F1" s="16"/>
      <c r="G1" s="16"/>
      <c r="H1" s="16"/>
      <c r="I1" s="16"/>
      <c r="J1" s="16"/>
      <c r="K1" s="16"/>
      <c r="L1" s="16"/>
      <c r="M1" s="79" t="s">
        <v>120</v>
      </c>
      <c r="N1" s="80"/>
      <c r="O1" s="80"/>
      <c r="P1" s="80"/>
      <c r="Q1" s="81"/>
      <c r="R1" s="82"/>
      <c r="S1" s="16"/>
      <c r="T1" s="17">
        <f t="shared" ref="T1:AC1" si="0">VLOOKUP(MAX($A$3:$A$147),$A$3:$I$147,2)</f>
        <v>0</v>
      </c>
      <c r="U1" s="17">
        <f t="shared" si="0"/>
        <v>0</v>
      </c>
      <c r="V1" s="17">
        <f t="shared" si="0"/>
        <v>0</v>
      </c>
      <c r="W1" s="17">
        <f t="shared" si="0"/>
        <v>0</v>
      </c>
      <c r="X1" s="17">
        <f t="shared" si="0"/>
        <v>0</v>
      </c>
      <c r="Y1" s="17">
        <f t="shared" si="0"/>
        <v>0</v>
      </c>
      <c r="Z1" s="17">
        <f t="shared" si="0"/>
        <v>0</v>
      </c>
      <c r="AA1" s="17">
        <f t="shared" si="0"/>
        <v>0</v>
      </c>
      <c r="AB1" s="17">
        <f t="shared" si="0"/>
        <v>0</v>
      </c>
      <c r="AC1" s="17">
        <f t="shared" si="0"/>
        <v>0</v>
      </c>
      <c r="AD1" s="18"/>
      <c r="AE1" s="18"/>
      <c r="AF1" s="18"/>
      <c r="AG1" s="18"/>
      <c r="AH1" s="18"/>
    </row>
    <row r="2" spans="1:34" ht="16.5" thickBot="1" x14ac:dyDescent="0.3">
      <c r="A2" s="73"/>
      <c r="B2" s="23"/>
      <c r="C2" s="20"/>
      <c r="D2" s="20"/>
      <c r="E2" s="20"/>
      <c r="F2" s="20"/>
      <c r="G2" s="20"/>
      <c r="H2" s="20"/>
      <c r="I2" s="20"/>
      <c r="J2" s="22"/>
      <c r="K2" s="20"/>
      <c r="L2" s="20"/>
      <c r="M2" s="23"/>
      <c r="N2" s="23"/>
      <c r="O2" s="23"/>
      <c r="P2" s="23"/>
      <c r="Q2" s="23"/>
      <c r="R2" s="23"/>
      <c r="S2" s="23"/>
      <c r="T2" s="23"/>
      <c r="U2" s="23"/>
      <c r="V2" s="23"/>
      <c r="W2" s="23"/>
      <c r="X2" s="23"/>
      <c r="Y2" s="23"/>
      <c r="Z2" s="23"/>
      <c r="AA2" s="23"/>
      <c r="AB2" s="23"/>
      <c r="AC2" s="23"/>
      <c r="AD2" s="23"/>
      <c r="AE2" s="23"/>
      <c r="AF2" s="23"/>
      <c r="AG2" s="23"/>
      <c r="AH2" s="23"/>
    </row>
    <row r="3" spans="1:34" x14ac:dyDescent="0.25">
      <c r="A3" s="68" t="s">
        <v>38</v>
      </c>
      <c r="B3" s="23"/>
      <c r="C3" s="69" t="s">
        <v>39</v>
      </c>
      <c r="D3" s="69" t="s">
        <v>40</v>
      </c>
      <c r="E3" s="69" t="s">
        <v>41</v>
      </c>
      <c r="F3" s="68" t="s">
        <v>42</v>
      </c>
      <c r="G3" s="68" t="s">
        <v>43</v>
      </c>
      <c r="H3" s="68" t="s">
        <v>44</v>
      </c>
      <c r="I3" s="68" t="s">
        <v>45</v>
      </c>
      <c r="J3" s="68" t="s">
        <v>46</v>
      </c>
      <c r="K3" s="68" t="s">
        <v>47</v>
      </c>
      <c r="L3" s="83"/>
      <c r="M3" s="29"/>
      <c r="N3" s="30"/>
      <c r="O3" s="30"/>
      <c r="P3" s="30"/>
      <c r="Q3" s="30"/>
      <c r="R3" s="30"/>
      <c r="S3" s="30"/>
      <c r="T3" s="30"/>
      <c r="U3" s="30"/>
      <c r="V3" s="30"/>
      <c r="W3" s="30"/>
      <c r="X3" s="30"/>
      <c r="Y3" s="30"/>
      <c r="Z3" s="30"/>
      <c r="AA3" s="30"/>
      <c r="AB3" s="30"/>
      <c r="AC3" s="30"/>
      <c r="AD3" s="30"/>
      <c r="AE3" s="30"/>
      <c r="AF3" s="31"/>
      <c r="AG3" s="23"/>
      <c r="AH3" s="23"/>
    </row>
    <row r="4" spans="1:34" x14ac:dyDescent="0.25">
      <c r="A4" s="32">
        <v>1</v>
      </c>
      <c r="B4" s="23">
        <f t="shared" ref="B4:B7" si="1">IF(A4=$R$1,1,IF(AND(C4&lt;&gt;"",C5=""),1,0))</f>
        <v>0</v>
      </c>
      <c r="C4" s="33" t="s">
        <v>48</v>
      </c>
      <c r="D4" s="34" t="s">
        <v>49</v>
      </c>
      <c r="E4" s="34" t="s">
        <v>50</v>
      </c>
      <c r="F4" s="34" t="s">
        <v>51</v>
      </c>
      <c r="G4" s="35" t="s">
        <v>52</v>
      </c>
      <c r="H4" s="35">
        <v>30062</v>
      </c>
      <c r="I4" s="33" t="s">
        <v>53</v>
      </c>
      <c r="J4" s="37" t="s">
        <v>54</v>
      </c>
      <c r="K4" s="70">
        <v>157665</v>
      </c>
      <c r="L4" s="84"/>
      <c r="M4" s="300" t="s">
        <v>55</v>
      </c>
      <c r="N4" s="301"/>
      <c r="O4" s="301"/>
      <c r="P4" s="301"/>
      <c r="Q4" s="301"/>
      <c r="R4" s="301"/>
      <c r="S4" s="301"/>
      <c r="T4" s="301"/>
      <c r="U4" s="301"/>
      <c r="V4" s="301"/>
      <c r="W4" s="301"/>
      <c r="X4" s="301"/>
      <c r="Y4" s="301"/>
      <c r="Z4" s="301"/>
      <c r="AA4" s="301"/>
      <c r="AB4" s="301"/>
      <c r="AC4" s="301"/>
      <c r="AD4" s="301"/>
      <c r="AE4" s="301"/>
      <c r="AF4" s="302"/>
      <c r="AG4" s="23"/>
      <c r="AH4" s="23"/>
    </row>
    <row r="5" spans="1:34" x14ac:dyDescent="0.25">
      <c r="A5" s="32">
        <v>2</v>
      </c>
      <c r="B5" s="23">
        <f t="shared" si="1"/>
        <v>0</v>
      </c>
      <c r="C5" s="39" t="s">
        <v>56</v>
      </c>
      <c r="D5" s="39" t="s">
        <v>57</v>
      </c>
      <c r="E5" s="39" t="s">
        <v>58</v>
      </c>
      <c r="F5" s="39" t="s">
        <v>51</v>
      </c>
      <c r="G5" s="40" t="s">
        <v>52</v>
      </c>
      <c r="H5" s="40">
        <v>30063</v>
      </c>
      <c r="I5" s="42" t="s">
        <v>59</v>
      </c>
      <c r="J5" s="43" t="s">
        <v>60</v>
      </c>
      <c r="K5" s="71">
        <v>156340</v>
      </c>
      <c r="L5" s="84"/>
      <c r="M5" s="45"/>
      <c r="N5" s="46"/>
      <c r="O5" s="46"/>
      <c r="P5" s="46"/>
      <c r="Q5" s="46"/>
      <c r="R5" s="46"/>
      <c r="S5" s="46"/>
      <c r="T5" s="46"/>
      <c r="U5" s="46"/>
      <c r="V5" s="46"/>
      <c r="W5" s="46"/>
      <c r="X5" s="46"/>
      <c r="Y5" s="46"/>
      <c r="Z5" s="46"/>
      <c r="AA5" s="46"/>
      <c r="AB5" s="46"/>
      <c r="AC5" s="46"/>
      <c r="AD5" s="46"/>
      <c r="AE5" s="46"/>
      <c r="AF5" s="47"/>
      <c r="AG5" s="23"/>
      <c r="AH5" s="23"/>
    </row>
    <row r="6" spans="1:34" x14ac:dyDescent="0.25">
      <c r="A6" s="32">
        <v>3</v>
      </c>
      <c r="B6" s="23">
        <f t="shared" si="1"/>
        <v>0</v>
      </c>
      <c r="C6" s="39" t="s">
        <v>61</v>
      </c>
      <c r="D6" s="42" t="s">
        <v>62</v>
      </c>
      <c r="E6" s="39" t="s">
        <v>63</v>
      </c>
      <c r="F6" s="39" t="s">
        <v>51</v>
      </c>
      <c r="G6" s="40" t="s">
        <v>52</v>
      </c>
      <c r="H6" s="40">
        <v>30064</v>
      </c>
      <c r="I6" s="42" t="s">
        <v>64</v>
      </c>
      <c r="J6" s="43" t="s">
        <v>65</v>
      </c>
      <c r="K6" s="71">
        <v>81480</v>
      </c>
      <c r="L6" s="84"/>
      <c r="M6" s="45"/>
      <c r="N6" s="48" t="s">
        <v>39</v>
      </c>
      <c r="O6" s="46"/>
      <c r="P6" s="46"/>
      <c r="Q6" s="76" t="str">
        <f>VLOOKUP(1,B3:K104,2,FALSE)</f>
        <v>Collins</v>
      </c>
      <c r="R6" s="50"/>
      <c r="S6" s="50"/>
      <c r="T6" s="50"/>
      <c r="U6" s="50"/>
      <c r="V6" s="51"/>
      <c r="W6" s="46"/>
      <c r="X6" s="52" t="s">
        <v>42</v>
      </c>
      <c r="Y6" s="46"/>
      <c r="Z6" s="49" t="str">
        <f>VLOOKUP(1,B3:K104,5,FALSE)</f>
        <v>Norcross</v>
      </c>
      <c r="AA6" s="50"/>
      <c r="AB6" s="50"/>
      <c r="AC6" s="50"/>
      <c r="AD6" s="50"/>
      <c r="AE6" s="51"/>
      <c r="AF6" s="47"/>
      <c r="AG6" s="23"/>
      <c r="AH6" s="23"/>
    </row>
    <row r="7" spans="1:34" x14ac:dyDescent="0.25">
      <c r="A7" s="32">
        <v>4</v>
      </c>
      <c r="B7" s="23">
        <f t="shared" si="1"/>
        <v>0</v>
      </c>
      <c r="C7" s="39" t="s">
        <v>66</v>
      </c>
      <c r="D7" s="42" t="s">
        <v>67</v>
      </c>
      <c r="E7" s="39" t="s">
        <v>68</v>
      </c>
      <c r="F7" s="39" t="s">
        <v>51</v>
      </c>
      <c r="G7" s="40" t="s">
        <v>52</v>
      </c>
      <c r="H7" s="40">
        <v>30065</v>
      </c>
      <c r="I7" s="42" t="s">
        <v>69</v>
      </c>
      <c r="J7" s="43" t="s">
        <v>54</v>
      </c>
      <c r="K7" s="71">
        <v>202578</v>
      </c>
      <c r="L7" s="84"/>
      <c r="M7" s="45"/>
      <c r="N7" s="46"/>
      <c r="O7" s="46"/>
      <c r="P7" s="46"/>
      <c r="Q7" s="46"/>
      <c r="R7" s="46"/>
      <c r="S7" s="46"/>
      <c r="T7" s="46"/>
      <c r="U7" s="46"/>
      <c r="V7" s="46"/>
      <c r="W7" s="46"/>
      <c r="X7" s="46"/>
      <c r="Y7" s="46"/>
      <c r="Z7" s="46"/>
      <c r="AA7" s="46"/>
      <c r="AB7" s="46"/>
      <c r="AC7" s="46"/>
      <c r="AD7" s="46"/>
      <c r="AE7" s="46"/>
      <c r="AF7" s="47"/>
      <c r="AG7" s="23"/>
      <c r="AH7" s="23"/>
    </row>
    <row r="8" spans="1:34" x14ac:dyDescent="0.25">
      <c r="A8" s="32">
        <v>5</v>
      </c>
      <c r="B8" s="23">
        <f>IF(A8=$R$1,1,IF(AND(C8&lt;&gt;"",C9=""),1,0))</f>
        <v>0</v>
      </c>
      <c r="C8" s="42" t="s">
        <v>70</v>
      </c>
      <c r="D8" s="39" t="s">
        <v>71</v>
      </c>
      <c r="E8" s="39" t="s">
        <v>72</v>
      </c>
      <c r="F8" s="39" t="s">
        <v>51</v>
      </c>
      <c r="G8" s="40" t="s">
        <v>52</v>
      </c>
      <c r="H8" s="40">
        <v>30066</v>
      </c>
      <c r="I8" s="42" t="s">
        <v>73</v>
      </c>
      <c r="J8" s="43" t="s">
        <v>60</v>
      </c>
      <c r="K8" s="71">
        <v>177209</v>
      </c>
      <c r="L8" s="84"/>
      <c r="M8" s="45"/>
      <c r="N8" s="48" t="s">
        <v>40</v>
      </c>
      <c r="O8" s="46"/>
      <c r="P8" s="46"/>
      <c r="Q8" s="49" t="str">
        <f>VLOOKUP(1,B3:K104,3,FALSE)</f>
        <v>Carlton</v>
      </c>
      <c r="R8" s="50"/>
      <c r="S8" s="50"/>
      <c r="T8" s="50"/>
      <c r="U8" s="50"/>
      <c r="V8" s="51"/>
      <c r="W8" s="46"/>
      <c r="X8" s="52" t="s">
        <v>43</v>
      </c>
      <c r="Y8" s="46"/>
      <c r="Z8" s="49" t="str">
        <f>VLOOKUP(1,B3:K104,6,FALSE)</f>
        <v xml:space="preserve">GA </v>
      </c>
      <c r="AA8" s="50"/>
      <c r="AB8" s="50"/>
      <c r="AC8" s="50"/>
      <c r="AD8" s="50"/>
      <c r="AE8" s="51"/>
      <c r="AF8" s="47"/>
      <c r="AG8" s="23"/>
      <c r="AH8" s="23"/>
    </row>
    <row r="9" spans="1:34" x14ac:dyDescent="0.25">
      <c r="A9" s="32">
        <v>6</v>
      </c>
      <c r="B9" s="23">
        <f t="shared" ref="B9:B29" si="2">IF(A9=$R$1,1,IF(AND(C9&lt;&gt;"",C10=""),1,0))</f>
        <v>0</v>
      </c>
      <c r="C9" s="39" t="s">
        <v>74</v>
      </c>
      <c r="D9" s="39" t="s">
        <v>75</v>
      </c>
      <c r="E9" s="39" t="s">
        <v>76</v>
      </c>
      <c r="F9" s="39" t="s">
        <v>77</v>
      </c>
      <c r="G9" s="40" t="s">
        <v>52</v>
      </c>
      <c r="H9" s="40">
        <v>30092</v>
      </c>
      <c r="I9" s="42" t="s">
        <v>78</v>
      </c>
      <c r="J9" s="43" t="s">
        <v>65</v>
      </c>
      <c r="K9" s="71">
        <v>212254.23</v>
      </c>
      <c r="L9" s="84"/>
      <c r="M9" s="45"/>
      <c r="N9" s="46"/>
      <c r="O9" s="46"/>
      <c r="P9" s="46"/>
      <c r="Q9" s="46"/>
      <c r="R9" s="46"/>
      <c r="S9" s="46"/>
      <c r="T9" s="46"/>
      <c r="U9" s="46"/>
      <c r="V9" s="46"/>
      <c r="W9" s="46"/>
      <c r="X9" s="46"/>
      <c r="Y9" s="46"/>
      <c r="Z9" s="46"/>
      <c r="AA9" s="46"/>
      <c r="AB9" s="46"/>
      <c r="AC9" s="46"/>
      <c r="AD9" s="46"/>
      <c r="AE9" s="46"/>
      <c r="AF9" s="47"/>
      <c r="AG9" s="23"/>
      <c r="AH9" s="23"/>
    </row>
    <row r="10" spans="1:34" x14ac:dyDescent="0.25">
      <c r="A10" s="32">
        <v>7</v>
      </c>
      <c r="B10" s="23">
        <f t="shared" si="2"/>
        <v>1</v>
      </c>
      <c r="C10" s="39" t="s">
        <v>79</v>
      </c>
      <c r="D10" s="39" t="s">
        <v>80</v>
      </c>
      <c r="E10" s="39" t="s">
        <v>50</v>
      </c>
      <c r="F10" s="39" t="s">
        <v>81</v>
      </c>
      <c r="G10" s="40" t="s">
        <v>82</v>
      </c>
      <c r="H10" s="40">
        <v>30092</v>
      </c>
      <c r="I10" s="42" t="s">
        <v>53</v>
      </c>
      <c r="J10" s="43" t="s">
        <v>54</v>
      </c>
      <c r="K10" s="71">
        <v>124533.45</v>
      </c>
      <c r="L10" s="84"/>
      <c r="M10" s="45"/>
      <c r="N10" s="48" t="s">
        <v>41</v>
      </c>
      <c r="O10" s="46"/>
      <c r="P10" s="46"/>
      <c r="Q10" s="49" t="str">
        <f>VLOOKUP(1,B3:K104,4,FALSE)</f>
        <v>100 Peachtree Street</v>
      </c>
      <c r="R10" s="50"/>
      <c r="S10" s="50"/>
      <c r="T10" s="50"/>
      <c r="U10" s="50"/>
      <c r="V10" s="51"/>
      <c r="W10" s="46"/>
      <c r="X10" s="52" t="s">
        <v>44</v>
      </c>
      <c r="Y10" s="46"/>
      <c r="Z10" s="306">
        <f>VLOOKUP(1,B3:K104,7,FALSE)</f>
        <v>30092</v>
      </c>
      <c r="AA10" s="314"/>
      <c r="AB10" s="314"/>
      <c r="AC10" s="50"/>
      <c r="AD10" s="50"/>
      <c r="AE10" s="51"/>
      <c r="AF10" s="47"/>
      <c r="AG10" s="23"/>
      <c r="AH10" s="23"/>
    </row>
    <row r="11" spans="1:34" x14ac:dyDescent="0.25">
      <c r="A11" s="32">
        <v>8</v>
      </c>
      <c r="B11" s="23">
        <f t="shared" si="2"/>
        <v>0</v>
      </c>
      <c r="C11" s="39"/>
      <c r="D11" s="39"/>
      <c r="E11" s="39"/>
      <c r="F11" s="39"/>
      <c r="G11" s="39"/>
      <c r="H11" s="39"/>
      <c r="I11" s="39"/>
      <c r="J11" s="40"/>
      <c r="K11" s="71"/>
      <c r="L11" s="85"/>
      <c r="M11" s="45"/>
      <c r="N11" s="46"/>
      <c r="O11" s="46"/>
      <c r="P11" s="46"/>
      <c r="Q11" s="46"/>
      <c r="R11" s="46"/>
      <c r="S11" s="46"/>
      <c r="T11" s="46"/>
      <c r="U11" s="46"/>
      <c r="V11" s="46"/>
      <c r="W11" s="46"/>
      <c r="X11" s="46"/>
      <c r="Y11" s="46"/>
      <c r="Z11" s="46"/>
      <c r="AA11" s="46"/>
      <c r="AB11" s="46"/>
      <c r="AC11" s="46"/>
      <c r="AD11" s="46"/>
      <c r="AE11" s="46"/>
      <c r="AF11" s="47"/>
      <c r="AG11" s="23"/>
      <c r="AH11" s="23"/>
    </row>
    <row r="12" spans="1:34" x14ac:dyDescent="0.25">
      <c r="A12" s="32">
        <v>9</v>
      </c>
      <c r="B12" s="23">
        <f t="shared" si="2"/>
        <v>0</v>
      </c>
      <c r="C12" s="39"/>
      <c r="D12" s="39"/>
      <c r="E12" s="39"/>
      <c r="F12" s="39"/>
      <c r="G12" s="39"/>
      <c r="H12" s="39"/>
      <c r="I12" s="39"/>
      <c r="J12" s="40"/>
      <c r="K12" s="39"/>
      <c r="L12" s="85"/>
      <c r="M12" s="45"/>
      <c r="N12" s="52" t="s">
        <v>45</v>
      </c>
      <c r="O12" s="46"/>
      <c r="P12" s="46"/>
      <c r="Q12" s="49" t="str">
        <f>VLOOKUP(1,B3:K104,8,FALSE)</f>
        <v>770.842.5902</v>
      </c>
      <c r="R12" s="50"/>
      <c r="S12" s="50"/>
      <c r="T12" s="50"/>
      <c r="U12" s="50"/>
      <c r="V12" s="51"/>
      <c r="W12" s="46"/>
      <c r="X12" s="60" t="s">
        <v>99</v>
      </c>
      <c r="Y12" s="46"/>
      <c r="Z12" s="49" t="str">
        <f>VLOOKUP(1,B3:K104,9,FALSE)</f>
        <v>Plan A</v>
      </c>
      <c r="AA12" s="50"/>
      <c r="AB12" s="50"/>
      <c r="AC12" s="50"/>
      <c r="AD12" s="50"/>
      <c r="AE12" s="51"/>
      <c r="AF12" s="47"/>
      <c r="AG12" s="23"/>
      <c r="AH12" s="23"/>
    </row>
    <row r="13" spans="1:34" x14ac:dyDescent="0.25">
      <c r="A13" s="32">
        <v>10</v>
      </c>
      <c r="B13" s="23">
        <f t="shared" si="2"/>
        <v>0</v>
      </c>
      <c r="C13" s="39"/>
      <c r="D13" s="39"/>
      <c r="E13" s="39"/>
      <c r="F13" s="39"/>
      <c r="G13" s="39"/>
      <c r="H13" s="39"/>
      <c r="I13" s="39"/>
      <c r="J13" s="40"/>
      <c r="K13" s="39"/>
      <c r="L13" s="85"/>
      <c r="M13" s="45"/>
      <c r="N13" s="46"/>
      <c r="O13" s="46"/>
      <c r="P13" s="46"/>
      <c r="Q13" s="46"/>
      <c r="R13" s="46"/>
      <c r="S13" s="46"/>
      <c r="T13" s="46"/>
      <c r="U13" s="46"/>
      <c r="V13" s="46"/>
      <c r="W13" s="46"/>
      <c r="X13" s="46"/>
      <c r="Y13" s="46"/>
      <c r="Z13" s="46"/>
      <c r="AA13" s="46"/>
      <c r="AB13" s="46"/>
      <c r="AC13" s="46"/>
      <c r="AD13" s="46"/>
      <c r="AE13" s="46"/>
      <c r="AF13" s="47"/>
      <c r="AG13" s="23"/>
      <c r="AH13" s="23"/>
    </row>
    <row r="14" spans="1:34" x14ac:dyDescent="0.25">
      <c r="A14" s="32">
        <v>11</v>
      </c>
      <c r="B14" s="23">
        <f t="shared" si="2"/>
        <v>0</v>
      </c>
      <c r="C14" s="39"/>
      <c r="D14" s="39"/>
      <c r="E14" s="39"/>
      <c r="F14" s="39"/>
      <c r="G14" s="39"/>
      <c r="H14" s="39"/>
      <c r="I14" s="39"/>
      <c r="J14" s="40"/>
      <c r="K14" s="39"/>
      <c r="L14" s="85"/>
      <c r="M14" s="45"/>
      <c r="N14" s="52" t="s">
        <v>90</v>
      </c>
      <c r="O14" s="46"/>
      <c r="P14" s="46"/>
      <c r="Q14" s="46"/>
      <c r="R14" s="46"/>
      <c r="S14" s="46"/>
      <c r="T14" s="46"/>
      <c r="U14" s="46"/>
      <c r="V14" s="46"/>
      <c r="W14" s="46"/>
      <c r="X14" s="46"/>
      <c r="Y14" s="46"/>
      <c r="Z14" s="318">
        <f>VLOOKUP(1,B3:K104,10,FALSE)</f>
        <v>124533.45</v>
      </c>
      <c r="AA14" s="319"/>
      <c r="AB14" s="319"/>
      <c r="AC14" s="319"/>
      <c r="AD14" s="319"/>
      <c r="AE14" s="320"/>
      <c r="AF14" s="47"/>
      <c r="AG14" s="23"/>
      <c r="AH14" s="23"/>
    </row>
    <row r="15" spans="1:34" x14ac:dyDescent="0.25">
      <c r="A15" s="32">
        <v>12</v>
      </c>
      <c r="B15" s="23">
        <f t="shared" si="2"/>
        <v>0</v>
      </c>
      <c r="C15" s="39"/>
      <c r="D15" s="39"/>
      <c r="E15" s="39"/>
      <c r="F15" s="39"/>
      <c r="G15" s="39"/>
      <c r="H15" s="39"/>
      <c r="I15" s="39"/>
      <c r="J15" s="40"/>
      <c r="K15" s="39"/>
      <c r="L15" s="85"/>
      <c r="M15" s="45"/>
      <c r="N15" s="46"/>
      <c r="O15" s="46"/>
      <c r="P15" s="46"/>
      <c r="Q15" s="46"/>
      <c r="R15" s="46"/>
      <c r="S15" s="46"/>
      <c r="T15" s="46"/>
      <c r="U15" s="46"/>
      <c r="V15" s="46"/>
      <c r="W15" s="46"/>
      <c r="X15" s="46"/>
      <c r="Y15" s="46"/>
      <c r="Z15" s="46"/>
      <c r="AA15" s="46"/>
      <c r="AB15" s="46"/>
      <c r="AC15" s="46"/>
      <c r="AD15" s="46"/>
      <c r="AE15" s="46"/>
      <c r="AF15" s="47"/>
      <c r="AG15" s="23"/>
      <c r="AH15" s="23"/>
    </row>
    <row r="16" spans="1:34" x14ac:dyDescent="0.25">
      <c r="A16" s="32">
        <v>13</v>
      </c>
      <c r="B16" s="23">
        <f t="shared" si="2"/>
        <v>0</v>
      </c>
      <c r="C16" s="39"/>
      <c r="D16" s="39"/>
      <c r="E16" s="39"/>
      <c r="F16" s="39"/>
      <c r="G16" s="39"/>
      <c r="H16" s="39"/>
      <c r="I16" s="39"/>
      <c r="J16" s="40"/>
      <c r="K16" s="39"/>
      <c r="L16" s="85"/>
      <c r="M16" s="303" t="s">
        <v>91</v>
      </c>
      <c r="N16" s="304"/>
      <c r="O16" s="304"/>
      <c r="P16" s="304"/>
      <c r="Q16" s="304"/>
      <c r="R16" s="304"/>
      <c r="S16" s="304"/>
      <c r="T16" s="304"/>
      <c r="U16" s="304"/>
      <c r="V16" s="304"/>
      <c r="W16" s="304"/>
      <c r="X16" s="304"/>
      <c r="Y16" s="304"/>
      <c r="Z16" s="304"/>
      <c r="AA16" s="304"/>
      <c r="AB16" s="304"/>
      <c r="AC16" s="304"/>
      <c r="AD16" s="304"/>
      <c r="AE16" s="304"/>
      <c r="AF16" s="305"/>
      <c r="AG16" s="23"/>
      <c r="AH16" s="23"/>
    </row>
    <row r="17" spans="1:34" ht="16.5" thickBot="1" x14ac:dyDescent="0.3">
      <c r="A17" s="32">
        <v>14</v>
      </c>
      <c r="B17" s="23">
        <f t="shared" si="2"/>
        <v>0</v>
      </c>
      <c r="C17" s="39"/>
      <c r="D17" s="39"/>
      <c r="E17" s="39"/>
      <c r="F17" s="39"/>
      <c r="G17" s="39"/>
      <c r="H17" s="39"/>
      <c r="I17" s="39"/>
      <c r="J17" s="40"/>
      <c r="K17" s="39"/>
      <c r="L17" s="85"/>
      <c r="M17" s="61"/>
      <c r="N17" s="62"/>
      <c r="O17" s="62"/>
      <c r="P17" s="62"/>
      <c r="Q17" s="62"/>
      <c r="R17" s="62"/>
      <c r="S17" s="62"/>
      <c r="T17" s="62"/>
      <c r="U17" s="62"/>
      <c r="V17" s="62"/>
      <c r="W17" s="62"/>
      <c r="X17" s="62"/>
      <c r="Y17" s="62"/>
      <c r="Z17" s="62"/>
      <c r="AA17" s="62"/>
      <c r="AB17" s="62"/>
      <c r="AC17" s="62"/>
      <c r="AD17" s="62"/>
      <c r="AE17" s="62"/>
      <c r="AF17" s="63"/>
      <c r="AG17" s="23"/>
      <c r="AH17" s="23"/>
    </row>
    <row r="18" spans="1:34" x14ac:dyDescent="0.25">
      <c r="A18" s="32">
        <v>15</v>
      </c>
      <c r="B18" s="23">
        <f t="shared" si="2"/>
        <v>0</v>
      </c>
      <c r="C18" s="39"/>
      <c r="D18" s="39"/>
      <c r="E18" s="39"/>
      <c r="F18" s="39"/>
      <c r="G18" s="39"/>
      <c r="H18" s="39"/>
      <c r="I18" s="39"/>
      <c r="J18" s="40"/>
      <c r="K18" s="39"/>
      <c r="L18" s="85"/>
      <c r="M18" s="23"/>
      <c r="N18" s="23"/>
      <c r="O18" s="23"/>
      <c r="P18" s="23"/>
      <c r="Q18" s="23"/>
      <c r="R18" s="23"/>
      <c r="S18" s="23"/>
      <c r="T18" s="23"/>
      <c r="U18" s="23"/>
      <c r="V18" s="23"/>
      <c r="W18" s="23"/>
      <c r="X18" s="23"/>
      <c r="Y18" s="23"/>
      <c r="Z18" s="23"/>
      <c r="AA18" s="23"/>
      <c r="AB18" s="23"/>
      <c r="AC18" s="23"/>
      <c r="AD18" s="23"/>
      <c r="AE18" s="23"/>
      <c r="AF18" s="23"/>
      <c r="AG18" s="23"/>
      <c r="AH18" s="23"/>
    </row>
    <row r="19" spans="1:34" x14ac:dyDescent="0.25">
      <c r="A19" s="32">
        <v>16</v>
      </c>
      <c r="B19" s="23">
        <f t="shared" si="2"/>
        <v>0</v>
      </c>
      <c r="C19" s="39"/>
      <c r="D19" s="39"/>
      <c r="E19" s="39"/>
      <c r="F19" s="39"/>
      <c r="G19" s="39"/>
      <c r="H19" s="39"/>
      <c r="I19" s="39"/>
      <c r="J19" s="40"/>
      <c r="K19" s="39"/>
      <c r="L19" s="85"/>
      <c r="M19" s="23"/>
      <c r="N19" s="23"/>
      <c r="O19" s="23"/>
      <c r="P19" s="23"/>
      <c r="Q19" s="23"/>
      <c r="R19" s="23"/>
      <c r="S19" s="23"/>
      <c r="T19" s="23"/>
      <c r="U19" s="23"/>
      <c r="V19" s="23"/>
      <c r="W19" s="23"/>
      <c r="X19" s="23"/>
      <c r="Y19" s="23"/>
      <c r="Z19" s="23"/>
      <c r="AA19" s="23"/>
      <c r="AB19" s="23"/>
      <c r="AC19" s="23"/>
      <c r="AD19" s="23"/>
      <c r="AE19" s="23"/>
      <c r="AF19" s="23"/>
      <c r="AG19" s="23"/>
      <c r="AH19" s="23"/>
    </row>
    <row r="20" spans="1:34" x14ac:dyDescent="0.25">
      <c r="A20" s="32">
        <v>17</v>
      </c>
      <c r="B20" s="23">
        <f t="shared" si="2"/>
        <v>0</v>
      </c>
      <c r="C20" s="39"/>
      <c r="D20" s="39"/>
      <c r="E20" s="39"/>
      <c r="F20" s="39"/>
      <c r="G20" s="39"/>
      <c r="H20" s="39"/>
      <c r="I20" s="39"/>
      <c r="J20" s="40"/>
      <c r="K20" s="39"/>
      <c r="L20" s="85"/>
      <c r="M20" s="23"/>
      <c r="N20" s="23"/>
      <c r="O20" s="23"/>
      <c r="P20" s="23"/>
      <c r="Q20" s="23"/>
      <c r="R20" s="23"/>
      <c r="S20" s="23"/>
      <c r="T20" s="23"/>
      <c r="U20" s="23"/>
      <c r="V20" s="23"/>
      <c r="W20" s="23"/>
      <c r="X20" s="23"/>
      <c r="Y20" s="23"/>
      <c r="Z20" s="23"/>
      <c r="AA20" s="23"/>
      <c r="AB20" s="23"/>
      <c r="AC20" s="23"/>
      <c r="AD20" s="23"/>
      <c r="AE20" s="23"/>
      <c r="AF20" s="23"/>
      <c r="AG20" s="23"/>
      <c r="AH20" s="23"/>
    </row>
    <row r="21" spans="1:34" x14ac:dyDescent="0.25">
      <c r="A21" s="32">
        <v>18</v>
      </c>
      <c r="B21" s="23">
        <f t="shared" si="2"/>
        <v>0</v>
      </c>
      <c r="C21" s="39"/>
      <c r="D21" s="39"/>
      <c r="E21" s="39"/>
      <c r="F21" s="39"/>
      <c r="G21" s="39"/>
      <c r="H21" s="39"/>
      <c r="I21" s="39"/>
      <c r="J21" s="40"/>
      <c r="K21" s="39"/>
      <c r="L21" s="85"/>
      <c r="M21" s="23"/>
      <c r="N21" s="23"/>
      <c r="O21" s="23"/>
      <c r="P21" s="23"/>
      <c r="Q21" s="23"/>
      <c r="R21" s="23"/>
      <c r="S21" s="23"/>
      <c r="T21" s="23"/>
      <c r="U21" s="23"/>
      <c r="V21" s="23"/>
      <c r="W21" s="23"/>
      <c r="X21" s="23"/>
      <c r="Y21" s="23"/>
      <c r="Z21" s="23"/>
      <c r="AA21" s="23"/>
      <c r="AB21" s="23"/>
      <c r="AC21" s="23"/>
      <c r="AD21" s="23"/>
      <c r="AE21" s="23"/>
      <c r="AF21" s="23"/>
      <c r="AG21" s="23"/>
      <c r="AH21" s="23"/>
    </row>
    <row r="22" spans="1:34" x14ac:dyDescent="0.25">
      <c r="A22" s="32">
        <v>19</v>
      </c>
      <c r="B22" s="23">
        <f t="shared" si="2"/>
        <v>0</v>
      </c>
      <c r="C22" s="39"/>
      <c r="D22" s="39"/>
      <c r="E22" s="39"/>
      <c r="F22" s="39"/>
      <c r="G22" s="39"/>
      <c r="H22" s="39"/>
      <c r="I22" s="39"/>
      <c r="J22" s="40"/>
      <c r="K22" s="39"/>
      <c r="L22" s="85"/>
      <c r="M22" s="23"/>
      <c r="N22" s="23"/>
      <c r="O22" s="23"/>
      <c r="P22" s="23"/>
      <c r="Q22" s="23"/>
      <c r="R22" s="23"/>
      <c r="S22" s="23"/>
      <c r="T22" s="23"/>
      <c r="U22" s="23"/>
      <c r="V22" s="23"/>
      <c r="W22" s="23"/>
      <c r="X22" s="23"/>
      <c r="Y22" s="23"/>
      <c r="Z22" s="23"/>
      <c r="AA22" s="23"/>
      <c r="AB22" s="23"/>
      <c r="AC22" s="23"/>
      <c r="AD22" s="23"/>
      <c r="AE22" s="23"/>
      <c r="AF22" s="23"/>
      <c r="AG22" s="23"/>
      <c r="AH22" s="23"/>
    </row>
    <row r="23" spans="1:34" x14ac:dyDescent="0.25">
      <c r="A23" s="32">
        <v>20</v>
      </c>
      <c r="B23" s="23">
        <f t="shared" si="2"/>
        <v>0</v>
      </c>
      <c r="C23" s="39"/>
      <c r="D23" s="39"/>
      <c r="E23" s="39"/>
      <c r="F23" s="39"/>
      <c r="G23" s="39"/>
      <c r="H23" s="39"/>
      <c r="I23" s="39"/>
      <c r="J23" s="40"/>
      <c r="K23" s="39"/>
      <c r="L23" s="85"/>
      <c r="M23" s="23"/>
      <c r="N23" s="23"/>
      <c r="O23" s="23"/>
      <c r="P23" s="23"/>
      <c r="Q23" s="23"/>
      <c r="R23" s="23"/>
      <c r="S23" s="23"/>
      <c r="T23" s="23"/>
      <c r="U23" s="23"/>
      <c r="V23" s="23"/>
      <c r="W23" s="23"/>
      <c r="X23" s="23"/>
      <c r="Y23" s="23"/>
      <c r="Z23" s="23"/>
      <c r="AA23" s="23"/>
      <c r="AB23" s="23"/>
      <c r="AC23" s="23"/>
      <c r="AD23" s="23"/>
      <c r="AE23" s="23"/>
      <c r="AF23" s="23"/>
      <c r="AG23" s="23"/>
      <c r="AH23" s="23"/>
    </row>
    <row r="24" spans="1:34" x14ac:dyDescent="0.25">
      <c r="A24" s="32">
        <v>21</v>
      </c>
      <c r="B24" s="23">
        <f t="shared" si="2"/>
        <v>0</v>
      </c>
      <c r="C24" s="39"/>
      <c r="D24" s="39"/>
      <c r="E24" s="39"/>
      <c r="F24" s="39"/>
      <c r="G24" s="39"/>
      <c r="H24" s="39"/>
      <c r="I24" s="39"/>
      <c r="J24" s="40"/>
      <c r="K24" s="39"/>
      <c r="L24" s="85"/>
      <c r="M24" s="23"/>
      <c r="N24" s="23"/>
      <c r="O24" s="23"/>
      <c r="P24" s="23"/>
      <c r="Q24" s="23"/>
      <c r="R24" s="23"/>
      <c r="S24" s="23"/>
      <c r="T24" s="23"/>
      <c r="U24" s="23"/>
      <c r="V24" s="23"/>
      <c r="W24" s="23"/>
      <c r="X24" s="23"/>
      <c r="Y24" s="23"/>
      <c r="Z24" s="23"/>
      <c r="AA24" s="23"/>
      <c r="AB24" s="23"/>
      <c r="AC24" s="23"/>
      <c r="AD24" s="23"/>
      <c r="AE24" s="23"/>
      <c r="AF24" s="23"/>
      <c r="AG24" s="23"/>
      <c r="AH24" s="23"/>
    </row>
    <row r="25" spans="1:34" x14ac:dyDescent="0.25">
      <c r="A25" s="32">
        <v>22</v>
      </c>
      <c r="B25" s="23">
        <f t="shared" si="2"/>
        <v>0</v>
      </c>
      <c r="C25" s="39"/>
      <c r="D25" s="39"/>
      <c r="E25" s="39"/>
      <c r="F25" s="39"/>
      <c r="G25" s="39"/>
      <c r="H25" s="39"/>
      <c r="I25" s="39"/>
      <c r="J25" s="40"/>
      <c r="K25" s="39"/>
      <c r="L25" s="85"/>
      <c r="M25" s="23"/>
      <c r="N25" s="23"/>
      <c r="O25" s="23"/>
      <c r="P25" s="23"/>
      <c r="Q25" s="23"/>
      <c r="R25" s="23"/>
      <c r="S25" s="23"/>
      <c r="T25" s="23"/>
      <c r="U25" s="23"/>
      <c r="V25" s="23"/>
      <c r="W25" s="23"/>
      <c r="X25" s="23"/>
      <c r="Y25" s="23"/>
      <c r="Z25" s="23"/>
      <c r="AA25" s="23"/>
      <c r="AB25" s="23"/>
      <c r="AC25" s="23"/>
      <c r="AD25" s="23"/>
      <c r="AE25" s="23"/>
      <c r="AF25" s="23"/>
      <c r="AG25" s="23"/>
      <c r="AH25" s="23"/>
    </row>
    <row r="26" spans="1:34" x14ac:dyDescent="0.25">
      <c r="A26" s="32">
        <v>23</v>
      </c>
      <c r="B26" s="23">
        <f t="shared" si="2"/>
        <v>0</v>
      </c>
      <c r="C26" s="39"/>
      <c r="D26" s="39"/>
      <c r="E26" s="39"/>
      <c r="F26" s="39"/>
      <c r="G26" s="39"/>
      <c r="H26" s="39"/>
      <c r="I26" s="39"/>
      <c r="J26" s="40"/>
      <c r="K26" s="39"/>
      <c r="L26" s="85"/>
      <c r="M26" s="23"/>
      <c r="N26" s="23"/>
      <c r="O26" s="23"/>
      <c r="P26" s="23"/>
      <c r="Q26" s="23"/>
      <c r="R26" s="23"/>
      <c r="S26" s="23"/>
      <c r="T26" s="23"/>
      <c r="U26" s="23"/>
      <c r="V26" s="23"/>
      <c r="W26" s="23"/>
      <c r="X26" s="23"/>
      <c r="Y26" s="23"/>
      <c r="Z26" s="23"/>
      <c r="AA26" s="23"/>
      <c r="AB26" s="23"/>
      <c r="AC26" s="23"/>
      <c r="AD26" s="23"/>
      <c r="AE26" s="23"/>
      <c r="AF26" s="23"/>
      <c r="AG26" s="23"/>
      <c r="AH26" s="23"/>
    </row>
    <row r="27" spans="1:34" x14ac:dyDescent="0.25">
      <c r="A27" s="32">
        <v>24</v>
      </c>
      <c r="B27" s="23">
        <f t="shared" si="2"/>
        <v>0</v>
      </c>
      <c r="C27" s="39"/>
      <c r="D27" s="39"/>
      <c r="E27" s="39"/>
      <c r="F27" s="39"/>
      <c r="G27" s="39"/>
      <c r="H27" s="39"/>
      <c r="I27" s="39"/>
      <c r="J27" s="40"/>
      <c r="K27" s="39"/>
      <c r="L27" s="85"/>
      <c r="M27" s="23"/>
      <c r="N27" s="23"/>
      <c r="O27" s="23"/>
      <c r="P27" s="23"/>
      <c r="Q27" s="23"/>
      <c r="R27" s="23"/>
      <c r="S27" s="23"/>
      <c r="T27" s="23"/>
      <c r="U27" s="23"/>
      <c r="V27" s="23"/>
      <c r="W27" s="23"/>
      <c r="X27" s="23"/>
      <c r="Y27" s="23"/>
      <c r="Z27" s="23"/>
      <c r="AA27" s="23"/>
      <c r="AB27" s="23"/>
      <c r="AC27" s="23"/>
      <c r="AD27" s="23"/>
      <c r="AE27" s="23"/>
      <c r="AF27" s="23"/>
      <c r="AG27" s="23"/>
      <c r="AH27" s="23"/>
    </row>
    <row r="28" spans="1:34" x14ac:dyDescent="0.25">
      <c r="A28" s="32">
        <v>25</v>
      </c>
      <c r="B28" s="23">
        <f t="shared" si="2"/>
        <v>0</v>
      </c>
      <c r="C28" s="39"/>
      <c r="D28" s="39"/>
      <c r="E28" s="39"/>
      <c r="F28" s="39"/>
      <c r="G28" s="39"/>
      <c r="H28" s="39"/>
      <c r="I28" s="39"/>
      <c r="J28" s="40"/>
      <c r="K28" s="39"/>
      <c r="L28" s="85"/>
      <c r="M28" s="23"/>
      <c r="N28" s="23"/>
      <c r="O28" s="23"/>
      <c r="P28" s="23"/>
      <c r="Q28" s="23"/>
      <c r="R28" s="23"/>
      <c r="S28" s="23"/>
      <c r="T28" s="23"/>
      <c r="U28" s="23"/>
      <c r="V28" s="23"/>
      <c r="W28" s="23"/>
      <c r="X28" s="23"/>
      <c r="Y28" s="23"/>
      <c r="Z28" s="23"/>
      <c r="AA28" s="23"/>
      <c r="AB28" s="23"/>
      <c r="AC28" s="23"/>
      <c r="AD28" s="23"/>
      <c r="AE28" s="23"/>
      <c r="AF28" s="23"/>
      <c r="AG28" s="23"/>
      <c r="AH28" s="23"/>
    </row>
    <row r="29" spans="1:34" x14ac:dyDescent="0.25">
      <c r="A29" s="32">
        <v>26</v>
      </c>
      <c r="B29" s="23">
        <f t="shared" si="2"/>
        <v>0</v>
      </c>
      <c r="C29" s="39"/>
      <c r="D29" s="39"/>
      <c r="E29" s="39"/>
      <c r="F29" s="39"/>
      <c r="G29" s="39"/>
      <c r="H29" s="39"/>
      <c r="I29" s="39"/>
      <c r="J29" s="40"/>
      <c r="K29" s="39"/>
      <c r="L29" s="85"/>
      <c r="M29" s="23"/>
      <c r="N29" s="23"/>
      <c r="O29" s="23"/>
      <c r="P29" s="23"/>
      <c r="Q29" s="23"/>
      <c r="R29" s="23"/>
      <c r="S29" s="23"/>
      <c r="T29" s="23"/>
      <c r="U29" s="23"/>
      <c r="V29" s="23"/>
      <c r="W29" s="23"/>
      <c r="X29" s="23"/>
      <c r="Y29" s="23"/>
      <c r="Z29" s="23"/>
      <c r="AA29" s="23"/>
      <c r="AB29" s="23"/>
      <c r="AC29" s="23"/>
      <c r="AD29" s="23"/>
      <c r="AE29" s="23"/>
      <c r="AF29" s="23"/>
      <c r="AG29" s="23"/>
      <c r="AH29" s="23"/>
    </row>
  </sheetData>
  <mergeCells count="4">
    <mergeCell ref="M4:AF4"/>
    <mergeCell ref="Z10:AB10"/>
    <mergeCell ref="Z14:AE14"/>
    <mergeCell ref="M16:AF16"/>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AG27"/>
  <sheetViews>
    <sheetView showGridLines="0" workbookViewId="0">
      <selection activeCell="P1" sqref="P1"/>
    </sheetView>
  </sheetViews>
  <sheetFormatPr defaultRowHeight="15.75" x14ac:dyDescent="0.25"/>
  <cols>
    <col min="1" max="1" width="7.875" bestFit="1" customWidth="1"/>
    <col min="2" max="3" width="10" bestFit="1" customWidth="1"/>
    <col min="4" max="4" width="19" bestFit="1" customWidth="1"/>
    <col min="5" max="5" width="8.375" bestFit="1" customWidth="1"/>
    <col min="6" max="6" width="5.375" bestFit="1" customWidth="1"/>
    <col min="7" max="7" width="5.875" bestFit="1" customWidth="1"/>
    <col min="8" max="8" width="11.875" bestFit="1" customWidth="1"/>
    <col min="9" max="9" width="11.875" customWidth="1"/>
    <col min="10" max="10" width="12.125" bestFit="1" customWidth="1"/>
    <col min="11" max="11" width="3.75" customWidth="1"/>
    <col min="12" max="31" width="3.625" customWidth="1"/>
    <col min="32" max="32" width="3" customWidth="1"/>
  </cols>
  <sheetData>
    <row r="1" spans="1:33" x14ac:dyDescent="0.25">
      <c r="A1" s="16"/>
      <c r="B1" s="16"/>
      <c r="C1" s="16"/>
      <c r="D1" s="16"/>
      <c r="E1" s="16"/>
      <c r="F1" s="16"/>
      <c r="G1" s="16"/>
      <c r="H1" s="16"/>
      <c r="I1" s="16"/>
      <c r="J1" s="16"/>
      <c r="K1" s="16"/>
      <c r="L1" s="16"/>
      <c r="M1" s="16"/>
      <c r="N1" s="16"/>
      <c r="O1" s="16"/>
      <c r="P1" s="16"/>
      <c r="Q1" s="16"/>
      <c r="R1" s="16"/>
      <c r="S1" s="17">
        <f t="shared" ref="S1:AB1" si="0">VLOOKUP(MAX($A$3:$A$147),$A$3:$H$147,2)</f>
        <v>0</v>
      </c>
      <c r="T1" s="17">
        <f t="shared" si="0"/>
        <v>0</v>
      </c>
      <c r="U1" s="17">
        <f t="shared" si="0"/>
        <v>0</v>
      </c>
      <c r="V1" s="17">
        <f t="shared" si="0"/>
        <v>0</v>
      </c>
      <c r="W1" s="17">
        <f t="shared" si="0"/>
        <v>0</v>
      </c>
      <c r="X1" s="17">
        <f t="shared" si="0"/>
        <v>0</v>
      </c>
      <c r="Y1" s="17">
        <f t="shared" si="0"/>
        <v>0</v>
      </c>
      <c r="Z1" s="17">
        <f t="shared" si="0"/>
        <v>0</v>
      </c>
      <c r="AA1" s="17">
        <f t="shared" si="0"/>
        <v>0</v>
      </c>
      <c r="AB1" s="17">
        <f t="shared" si="0"/>
        <v>0</v>
      </c>
      <c r="AC1" s="18"/>
      <c r="AD1" s="18"/>
      <c r="AE1" s="18"/>
      <c r="AF1" s="18"/>
      <c r="AG1" s="18"/>
    </row>
    <row r="2" spans="1:33" ht="16.5" thickBot="1" x14ac:dyDescent="0.3">
      <c r="A2" s="73"/>
      <c r="B2" s="20"/>
      <c r="C2" s="20"/>
      <c r="D2" s="20"/>
      <c r="E2" s="20"/>
      <c r="F2" s="20"/>
      <c r="G2" s="20"/>
      <c r="H2" s="20"/>
      <c r="I2" s="22"/>
      <c r="J2" s="20"/>
      <c r="K2" s="23"/>
      <c r="L2" s="23"/>
      <c r="M2" s="23"/>
      <c r="N2" s="23"/>
      <c r="O2" s="23"/>
      <c r="P2" s="23"/>
      <c r="Q2" s="23"/>
      <c r="R2" s="23"/>
      <c r="S2" s="23"/>
      <c r="T2" s="23"/>
      <c r="U2" s="23"/>
      <c r="V2" s="23"/>
      <c r="W2" s="23"/>
      <c r="X2" s="23"/>
      <c r="Y2" s="23"/>
      <c r="Z2" s="23"/>
      <c r="AA2" s="23"/>
      <c r="AB2" s="23"/>
      <c r="AC2" s="23"/>
      <c r="AD2" s="23"/>
      <c r="AE2" s="23"/>
      <c r="AF2" s="23"/>
      <c r="AG2" s="23"/>
    </row>
    <row r="3" spans="1:33" x14ac:dyDescent="0.25">
      <c r="A3" s="68" t="s">
        <v>38</v>
      </c>
      <c r="B3" s="69" t="s">
        <v>39</v>
      </c>
      <c r="C3" s="69" t="s">
        <v>40</v>
      </c>
      <c r="D3" s="69" t="s">
        <v>41</v>
      </c>
      <c r="E3" s="68" t="s">
        <v>42</v>
      </c>
      <c r="F3" s="68" t="s">
        <v>43</v>
      </c>
      <c r="G3" s="68" t="s">
        <v>44</v>
      </c>
      <c r="H3" s="68" t="s">
        <v>45</v>
      </c>
      <c r="I3" s="68" t="s">
        <v>46</v>
      </c>
      <c r="J3" s="68" t="s">
        <v>47</v>
      </c>
      <c r="K3" s="23"/>
      <c r="L3" s="29"/>
      <c r="M3" s="30"/>
      <c r="N3" s="30"/>
      <c r="O3" s="30"/>
      <c r="P3" s="30"/>
      <c r="Q3" s="30"/>
      <c r="R3" s="30"/>
      <c r="S3" s="30"/>
      <c r="T3" s="30"/>
      <c r="U3" s="30"/>
      <c r="V3" s="30"/>
      <c r="W3" s="30"/>
      <c r="X3" s="30"/>
      <c r="Y3" s="30"/>
      <c r="Z3" s="30"/>
      <c r="AA3" s="30"/>
      <c r="AB3" s="30"/>
      <c r="AC3" s="30"/>
      <c r="AD3" s="30"/>
      <c r="AE3" s="31"/>
      <c r="AF3" s="23"/>
      <c r="AG3" s="23"/>
    </row>
    <row r="4" spans="1:33" x14ac:dyDescent="0.25">
      <c r="A4" s="32">
        <v>1</v>
      </c>
      <c r="B4" s="33" t="s">
        <v>48</v>
      </c>
      <c r="C4" s="34" t="s">
        <v>49</v>
      </c>
      <c r="D4" s="34" t="s">
        <v>50</v>
      </c>
      <c r="E4" s="34" t="s">
        <v>51</v>
      </c>
      <c r="F4" s="35" t="s">
        <v>52</v>
      </c>
      <c r="G4" s="35">
        <v>30062</v>
      </c>
      <c r="H4" s="33" t="s">
        <v>53</v>
      </c>
      <c r="I4" s="37" t="s">
        <v>54</v>
      </c>
      <c r="J4" s="70">
        <v>157665</v>
      </c>
      <c r="K4" s="23"/>
      <c r="L4" s="300" t="s">
        <v>55</v>
      </c>
      <c r="M4" s="301"/>
      <c r="N4" s="301"/>
      <c r="O4" s="301"/>
      <c r="P4" s="301"/>
      <c r="Q4" s="301"/>
      <c r="R4" s="301"/>
      <c r="S4" s="301"/>
      <c r="T4" s="301"/>
      <c r="U4" s="301"/>
      <c r="V4" s="301"/>
      <c r="W4" s="301"/>
      <c r="X4" s="301"/>
      <c r="Y4" s="301"/>
      <c r="Z4" s="301"/>
      <c r="AA4" s="301"/>
      <c r="AB4" s="301"/>
      <c r="AC4" s="301"/>
      <c r="AD4" s="301"/>
      <c r="AE4" s="302"/>
      <c r="AF4" s="23"/>
      <c r="AG4" s="23"/>
    </row>
    <row r="5" spans="1:33" x14ac:dyDescent="0.25">
      <c r="A5" s="32">
        <v>2</v>
      </c>
      <c r="B5" s="39" t="s">
        <v>56</v>
      </c>
      <c r="C5" s="39" t="s">
        <v>57</v>
      </c>
      <c r="D5" s="39" t="s">
        <v>58</v>
      </c>
      <c r="E5" s="39" t="s">
        <v>51</v>
      </c>
      <c r="F5" s="40" t="s">
        <v>52</v>
      </c>
      <c r="G5" s="40">
        <v>30063</v>
      </c>
      <c r="H5" s="42" t="s">
        <v>59</v>
      </c>
      <c r="I5" s="43" t="s">
        <v>60</v>
      </c>
      <c r="J5" s="71">
        <v>156340</v>
      </c>
      <c r="K5" s="23"/>
      <c r="L5" s="45"/>
      <c r="M5" s="46"/>
      <c r="N5" s="46"/>
      <c r="O5" s="46"/>
      <c r="P5" s="46"/>
      <c r="Q5" s="46"/>
      <c r="R5" s="46"/>
      <c r="S5" s="46"/>
      <c r="T5" s="46"/>
      <c r="U5" s="46"/>
      <c r="V5" s="46"/>
      <c r="W5" s="46"/>
      <c r="X5" s="46"/>
      <c r="Y5" s="46"/>
      <c r="Z5" s="46"/>
      <c r="AA5" s="46"/>
      <c r="AB5" s="46"/>
      <c r="AC5" s="46"/>
      <c r="AD5" s="46"/>
      <c r="AE5" s="47"/>
      <c r="AF5" s="23"/>
      <c r="AG5" s="23"/>
    </row>
    <row r="6" spans="1:33" x14ac:dyDescent="0.25">
      <c r="A6" s="32">
        <v>3</v>
      </c>
      <c r="B6" s="39" t="s">
        <v>61</v>
      </c>
      <c r="C6" s="42" t="s">
        <v>62</v>
      </c>
      <c r="D6" s="39" t="s">
        <v>63</v>
      </c>
      <c r="E6" s="39" t="s">
        <v>51</v>
      </c>
      <c r="F6" s="40" t="s">
        <v>52</v>
      </c>
      <c r="G6" s="40">
        <v>30064</v>
      </c>
      <c r="H6" s="42" t="s">
        <v>64</v>
      </c>
      <c r="I6" s="43" t="s">
        <v>65</v>
      </c>
      <c r="J6" s="71">
        <v>81480</v>
      </c>
      <c r="K6" s="23"/>
      <c r="L6" s="45"/>
      <c r="M6" s="48" t="s">
        <v>39</v>
      </c>
      <c r="N6" s="46"/>
      <c r="O6" s="46"/>
      <c r="P6" s="76" t="str">
        <f>LOOKUP(COUNT(G4:G100),A4:A100,B4:B100)</f>
        <v>Collins</v>
      </c>
      <c r="Q6" s="50"/>
      <c r="R6" s="50"/>
      <c r="S6" s="50"/>
      <c r="T6" s="50"/>
      <c r="U6" s="51"/>
      <c r="V6" s="46"/>
      <c r="W6" s="52" t="s">
        <v>42</v>
      </c>
      <c r="X6" s="46"/>
      <c r="Y6" s="49" t="str">
        <f>LOOKUP(COUNT(G4:G100),A4:A100,E4:E100)</f>
        <v>Norcross</v>
      </c>
      <c r="Z6" s="50"/>
      <c r="AA6" s="50"/>
      <c r="AB6" s="50"/>
      <c r="AC6" s="50"/>
      <c r="AD6" s="51"/>
      <c r="AE6" s="47"/>
      <c r="AF6" s="23"/>
      <c r="AG6" s="23"/>
    </row>
    <row r="7" spans="1:33" x14ac:dyDescent="0.25">
      <c r="A7" s="32">
        <v>4</v>
      </c>
      <c r="B7" s="39" t="s">
        <v>66</v>
      </c>
      <c r="C7" s="42" t="s">
        <v>67</v>
      </c>
      <c r="D7" s="39" t="s">
        <v>68</v>
      </c>
      <c r="E7" s="39" t="s">
        <v>51</v>
      </c>
      <c r="F7" s="40" t="s">
        <v>52</v>
      </c>
      <c r="G7" s="40">
        <v>30065</v>
      </c>
      <c r="H7" s="42" t="s">
        <v>69</v>
      </c>
      <c r="I7" s="43" t="s">
        <v>54</v>
      </c>
      <c r="J7" s="71">
        <v>202578</v>
      </c>
      <c r="K7" s="23"/>
      <c r="L7" s="45"/>
      <c r="M7" s="46"/>
      <c r="N7" s="46"/>
      <c r="O7" s="46"/>
      <c r="P7" s="46"/>
      <c r="Q7" s="46"/>
      <c r="R7" s="46"/>
      <c r="S7" s="46"/>
      <c r="T7" s="46"/>
      <c r="U7" s="46"/>
      <c r="V7" s="46"/>
      <c r="W7" s="46"/>
      <c r="X7" s="46"/>
      <c r="Y7" s="46"/>
      <c r="Z7" s="46"/>
      <c r="AA7" s="46"/>
      <c r="AB7" s="46"/>
      <c r="AC7" s="46"/>
      <c r="AD7" s="46"/>
      <c r="AE7" s="47"/>
      <c r="AF7" s="23"/>
      <c r="AG7" s="23"/>
    </row>
    <row r="8" spans="1:33" x14ac:dyDescent="0.25">
      <c r="A8" s="32">
        <v>5</v>
      </c>
      <c r="B8" s="42" t="s">
        <v>70</v>
      </c>
      <c r="C8" s="39" t="s">
        <v>71</v>
      </c>
      <c r="D8" s="39" t="s">
        <v>72</v>
      </c>
      <c r="E8" s="39" t="s">
        <v>51</v>
      </c>
      <c r="F8" s="40" t="s">
        <v>52</v>
      </c>
      <c r="G8" s="40">
        <v>30066</v>
      </c>
      <c r="H8" s="42" t="s">
        <v>73</v>
      </c>
      <c r="I8" s="43" t="s">
        <v>60</v>
      </c>
      <c r="J8" s="71">
        <v>177209</v>
      </c>
      <c r="K8" s="23"/>
      <c r="L8" s="45"/>
      <c r="M8" s="48" t="s">
        <v>40</v>
      </c>
      <c r="N8" s="46"/>
      <c r="O8" s="46"/>
      <c r="P8" s="49" t="str">
        <f>LOOKUP(COUNT(G4:G100),A4:A100,C4:C100)</f>
        <v>Carlton</v>
      </c>
      <c r="Q8" s="50"/>
      <c r="R8" s="50"/>
      <c r="S8" s="50"/>
      <c r="T8" s="50"/>
      <c r="U8" s="51"/>
      <c r="V8" s="46"/>
      <c r="W8" s="52" t="s">
        <v>43</v>
      </c>
      <c r="X8" s="46"/>
      <c r="Y8" s="49" t="str">
        <f>LOOKUP(COUNT(G4:G100),A4:A100,F4:F100)</f>
        <v xml:space="preserve">GA </v>
      </c>
      <c r="Z8" s="50"/>
      <c r="AA8" s="50"/>
      <c r="AB8" s="50"/>
      <c r="AC8" s="50"/>
      <c r="AD8" s="51"/>
      <c r="AE8" s="47"/>
      <c r="AF8" s="23"/>
      <c r="AG8" s="23"/>
    </row>
    <row r="9" spans="1:33" x14ac:dyDescent="0.25">
      <c r="A9" s="32">
        <v>6</v>
      </c>
      <c r="B9" s="39" t="s">
        <v>74</v>
      </c>
      <c r="C9" s="39" t="s">
        <v>75</v>
      </c>
      <c r="D9" s="39" t="s">
        <v>76</v>
      </c>
      <c r="E9" s="39" t="s">
        <v>77</v>
      </c>
      <c r="F9" s="40" t="s">
        <v>52</v>
      </c>
      <c r="G9" s="40">
        <v>30092</v>
      </c>
      <c r="H9" s="42" t="s">
        <v>78</v>
      </c>
      <c r="I9" s="43" t="s">
        <v>65</v>
      </c>
      <c r="J9" s="71">
        <v>212254.23</v>
      </c>
      <c r="K9" s="23"/>
      <c r="L9" s="45"/>
      <c r="M9" s="46"/>
      <c r="N9" s="46"/>
      <c r="O9" s="46"/>
      <c r="P9" s="46"/>
      <c r="Q9" s="46"/>
      <c r="R9" s="46"/>
      <c r="S9" s="46"/>
      <c r="T9" s="46"/>
      <c r="U9" s="46"/>
      <c r="V9" s="46"/>
      <c r="W9" s="46"/>
      <c r="X9" s="46"/>
      <c r="Y9" s="46"/>
      <c r="Z9" s="46"/>
      <c r="AA9" s="46"/>
      <c r="AB9" s="46"/>
      <c r="AC9" s="46"/>
      <c r="AD9" s="46"/>
      <c r="AE9" s="47"/>
      <c r="AF9" s="23"/>
      <c r="AG9" s="23"/>
    </row>
    <row r="10" spans="1:33" x14ac:dyDescent="0.25">
      <c r="A10" s="32">
        <v>7</v>
      </c>
      <c r="B10" s="39" t="s">
        <v>79</v>
      </c>
      <c r="C10" s="39" t="s">
        <v>80</v>
      </c>
      <c r="D10" s="39" t="s">
        <v>50</v>
      </c>
      <c r="E10" s="39" t="s">
        <v>81</v>
      </c>
      <c r="F10" s="40" t="s">
        <v>82</v>
      </c>
      <c r="G10" s="40">
        <v>30092</v>
      </c>
      <c r="H10" s="42" t="s">
        <v>53</v>
      </c>
      <c r="I10" s="43" t="s">
        <v>54</v>
      </c>
      <c r="J10" s="71">
        <v>124533.45</v>
      </c>
      <c r="K10" s="23"/>
      <c r="L10" s="45"/>
      <c r="M10" s="48" t="s">
        <v>41</v>
      </c>
      <c r="N10" s="46"/>
      <c r="O10" s="46"/>
      <c r="P10" s="49" t="str">
        <f>LOOKUP(COUNT(G4:G100),A4:A100,D4:D100)</f>
        <v>100 Peachtree Street</v>
      </c>
      <c r="Q10" s="50"/>
      <c r="R10" s="50"/>
      <c r="S10" s="50"/>
      <c r="T10" s="50"/>
      <c r="U10" s="51"/>
      <c r="V10" s="46"/>
      <c r="W10" s="52" t="s">
        <v>44</v>
      </c>
      <c r="X10" s="46"/>
      <c r="Y10" s="49" t="str">
        <f>TEXT(LOOKUP(COUNT(G4:G100),A4:A100,G4:G100),0)</f>
        <v>30092</v>
      </c>
      <c r="Z10" s="50"/>
      <c r="AA10" s="50"/>
      <c r="AB10" s="50"/>
      <c r="AC10" s="50"/>
      <c r="AD10" s="51"/>
      <c r="AE10" s="47"/>
      <c r="AF10" s="23"/>
      <c r="AG10" s="23"/>
    </row>
    <row r="11" spans="1:33" x14ac:dyDescent="0.25">
      <c r="A11" s="32">
        <v>8</v>
      </c>
      <c r="B11" s="39"/>
      <c r="C11" s="39"/>
      <c r="D11" s="39"/>
      <c r="E11" s="39"/>
      <c r="F11" s="39"/>
      <c r="G11" s="39"/>
      <c r="H11" s="39"/>
      <c r="I11" s="40"/>
      <c r="J11" s="39"/>
      <c r="K11" s="23"/>
      <c r="L11" s="45"/>
      <c r="M11" s="46"/>
      <c r="N11" s="46"/>
      <c r="O11" s="46"/>
      <c r="P11" s="46"/>
      <c r="Q11" s="46"/>
      <c r="R11" s="46"/>
      <c r="S11" s="46"/>
      <c r="T11" s="46"/>
      <c r="U11" s="46"/>
      <c r="V11" s="46"/>
      <c r="W11" s="46"/>
      <c r="X11" s="46"/>
      <c r="Y11" s="46"/>
      <c r="Z11" s="46"/>
      <c r="AA11" s="46"/>
      <c r="AB11" s="46"/>
      <c r="AC11" s="46"/>
      <c r="AD11" s="46"/>
      <c r="AE11" s="47"/>
      <c r="AF11" s="23"/>
      <c r="AG11" s="23"/>
    </row>
    <row r="12" spans="1:33" x14ac:dyDescent="0.25">
      <c r="A12" s="32">
        <v>9</v>
      </c>
      <c r="B12" s="39"/>
      <c r="C12" s="39"/>
      <c r="D12" s="39"/>
      <c r="E12" s="39"/>
      <c r="F12" s="39"/>
      <c r="G12" s="39"/>
      <c r="H12" s="39"/>
      <c r="I12" s="40"/>
      <c r="J12" s="39"/>
      <c r="K12" s="23"/>
      <c r="L12" s="45"/>
      <c r="M12" s="52" t="s">
        <v>45</v>
      </c>
      <c r="N12" s="46"/>
      <c r="O12" s="46"/>
      <c r="P12" s="49" t="str">
        <f>LOOKUP(COUNT(G4:G100),A4:A100,H4:H100)</f>
        <v>770.842.5902</v>
      </c>
      <c r="Q12" s="50"/>
      <c r="R12" s="50"/>
      <c r="S12" s="50"/>
      <c r="T12" s="50"/>
      <c r="U12" s="51"/>
      <c r="V12" s="46"/>
      <c r="W12" s="60" t="s">
        <v>99</v>
      </c>
      <c r="X12" s="46"/>
      <c r="Y12" s="49" t="str">
        <f>LOOKUP(COUNT(G4:G100),A4:A100,I4:I100)</f>
        <v>Plan A</v>
      </c>
      <c r="Z12" s="50"/>
      <c r="AA12" s="50"/>
      <c r="AB12" s="50"/>
      <c r="AC12" s="50"/>
      <c r="AD12" s="51"/>
      <c r="AE12" s="47"/>
      <c r="AF12" s="23"/>
      <c r="AG12" s="23"/>
    </row>
    <row r="13" spans="1:33" x14ac:dyDescent="0.25">
      <c r="A13" s="32">
        <v>10</v>
      </c>
      <c r="B13" s="39"/>
      <c r="C13" s="39"/>
      <c r="D13" s="39"/>
      <c r="E13" s="39"/>
      <c r="F13" s="39"/>
      <c r="G13" s="39"/>
      <c r="H13" s="39"/>
      <c r="I13" s="40"/>
      <c r="J13" s="39"/>
      <c r="K13" s="23"/>
      <c r="L13" s="45"/>
      <c r="M13" s="46"/>
      <c r="N13" s="46"/>
      <c r="O13" s="46"/>
      <c r="P13" s="46"/>
      <c r="Q13" s="46"/>
      <c r="R13" s="46"/>
      <c r="S13" s="46"/>
      <c r="T13" s="46"/>
      <c r="U13" s="46"/>
      <c r="V13" s="46"/>
      <c r="W13" s="46"/>
      <c r="X13" s="46"/>
      <c r="Y13" s="46"/>
      <c r="Z13" s="46"/>
      <c r="AA13" s="46"/>
      <c r="AB13" s="46"/>
      <c r="AC13" s="46"/>
      <c r="AD13" s="46"/>
      <c r="AE13" s="47"/>
      <c r="AF13" s="23"/>
      <c r="AG13" s="23"/>
    </row>
    <row r="14" spans="1:33" x14ac:dyDescent="0.25">
      <c r="A14" s="32">
        <v>11</v>
      </c>
      <c r="B14" s="39"/>
      <c r="C14" s="39"/>
      <c r="D14" s="39"/>
      <c r="E14" s="39"/>
      <c r="F14" s="39"/>
      <c r="G14" s="39"/>
      <c r="H14" s="39"/>
      <c r="I14" s="40"/>
      <c r="J14" s="39"/>
      <c r="K14" s="23"/>
      <c r="L14" s="45"/>
      <c r="M14" s="52" t="s">
        <v>90</v>
      </c>
      <c r="N14" s="46"/>
      <c r="O14" s="46"/>
      <c r="P14" s="46"/>
      <c r="Q14" s="46"/>
      <c r="R14" s="46"/>
      <c r="S14" s="46"/>
      <c r="T14" s="46"/>
      <c r="U14" s="46"/>
      <c r="V14" s="46"/>
      <c r="W14" s="46"/>
      <c r="X14" s="46"/>
      <c r="Y14" s="76" t="str">
        <f>TEXT(LOOKUP(COUNT(G4:G100),A4:A100,J4:J100),"$#,###.##")</f>
        <v>$124,533.45</v>
      </c>
      <c r="Z14" s="50"/>
      <c r="AA14" s="50"/>
      <c r="AB14" s="50"/>
      <c r="AC14" s="50"/>
      <c r="AD14" s="51"/>
      <c r="AE14" s="47"/>
      <c r="AF14" s="23"/>
      <c r="AG14" s="23"/>
    </row>
    <row r="15" spans="1:33" x14ac:dyDescent="0.25">
      <c r="A15" s="32">
        <v>12</v>
      </c>
      <c r="B15" s="39"/>
      <c r="C15" s="39"/>
      <c r="D15" s="39"/>
      <c r="E15" s="39"/>
      <c r="F15" s="39"/>
      <c r="G15" s="39"/>
      <c r="H15" s="39"/>
      <c r="I15" s="40"/>
      <c r="J15" s="39"/>
      <c r="K15" s="23"/>
      <c r="L15" s="45"/>
      <c r="M15" s="46"/>
      <c r="N15" s="46"/>
      <c r="O15" s="46"/>
      <c r="P15" s="46"/>
      <c r="Q15" s="46"/>
      <c r="R15" s="46"/>
      <c r="S15" s="46"/>
      <c r="T15" s="46"/>
      <c r="U15" s="46"/>
      <c r="V15" s="46"/>
      <c r="W15" s="46"/>
      <c r="X15" s="46"/>
      <c r="Y15" s="46"/>
      <c r="Z15" s="46"/>
      <c r="AA15" s="46"/>
      <c r="AB15" s="46"/>
      <c r="AC15" s="46"/>
      <c r="AD15" s="46"/>
      <c r="AE15" s="47"/>
      <c r="AF15" s="23"/>
      <c r="AG15" s="23"/>
    </row>
    <row r="16" spans="1:33" x14ac:dyDescent="0.25">
      <c r="A16" s="32">
        <v>13</v>
      </c>
      <c r="B16" s="39"/>
      <c r="C16" s="39"/>
      <c r="D16" s="39"/>
      <c r="E16" s="39"/>
      <c r="F16" s="39"/>
      <c r="G16" s="39"/>
      <c r="H16" s="39"/>
      <c r="I16" s="40"/>
      <c r="J16" s="39"/>
      <c r="K16" s="23"/>
      <c r="L16" s="303" t="s">
        <v>91</v>
      </c>
      <c r="M16" s="304"/>
      <c r="N16" s="304"/>
      <c r="O16" s="304"/>
      <c r="P16" s="304"/>
      <c r="Q16" s="304"/>
      <c r="R16" s="304"/>
      <c r="S16" s="304"/>
      <c r="T16" s="304"/>
      <c r="U16" s="304"/>
      <c r="V16" s="304"/>
      <c r="W16" s="304"/>
      <c r="X16" s="304"/>
      <c r="Y16" s="304"/>
      <c r="Z16" s="304"/>
      <c r="AA16" s="304"/>
      <c r="AB16" s="304"/>
      <c r="AC16" s="304"/>
      <c r="AD16" s="304"/>
      <c r="AE16" s="305"/>
      <c r="AF16" s="23"/>
      <c r="AG16" s="23"/>
    </row>
    <row r="17" spans="1:33" ht="16.5" thickBot="1" x14ac:dyDescent="0.3">
      <c r="A17" s="32">
        <v>14</v>
      </c>
      <c r="B17" s="39"/>
      <c r="C17" s="39"/>
      <c r="D17" s="39"/>
      <c r="E17" s="39"/>
      <c r="F17" s="39"/>
      <c r="G17" s="39"/>
      <c r="H17" s="39"/>
      <c r="I17" s="40"/>
      <c r="J17" s="39"/>
      <c r="K17" s="23"/>
      <c r="L17" s="61"/>
      <c r="M17" s="62"/>
      <c r="N17" s="62"/>
      <c r="O17" s="62"/>
      <c r="P17" s="62"/>
      <c r="Q17" s="62"/>
      <c r="R17" s="62"/>
      <c r="S17" s="62"/>
      <c r="T17" s="62"/>
      <c r="U17" s="62"/>
      <c r="V17" s="62"/>
      <c r="W17" s="62"/>
      <c r="X17" s="62"/>
      <c r="Y17" s="62"/>
      <c r="Z17" s="62"/>
      <c r="AA17" s="62"/>
      <c r="AB17" s="62"/>
      <c r="AC17" s="62"/>
      <c r="AD17" s="62"/>
      <c r="AE17" s="63"/>
      <c r="AF17" s="23"/>
      <c r="AG17" s="23"/>
    </row>
    <row r="18" spans="1:33" x14ac:dyDescent="0.25">
      <c r="A18" s="32">
        <v>15</v>
      </c>
      <c r="B18" s="39"/>
      <c r="C18" s="39"/>
      <c r="D18" s="39"/>
      <c r="E18" s="39"/>
      <c r="F18" s="39"/>
      <c r="G18" s="39"/>
      <c r="H18" s="39"/>
      <c r="I18" s="40"/>
      <c r="J18" s="39"/>
      <c r="K18" s="23"/>
      <c r="L18" s="23"/>
      <c r="M18" s="23"/>
      <c r="N18" s="23"/>
      <c r="O18" s="23"/>
      <c r="P18" s="23"/>
      <c r="Q18" s="23"/>
      <c r="R18" s="23"/>
      <c r="S18" s="23"/>
      <c r="T18" s="23"/>
      <c r="U18" s="23"/>
      <c r="V18" s="23"/>
      <c r="W18" s="23"/>
      <c r="X18" s="23"/>
      <c r="Y18" s="23"/>
      <c r="Z18" s="23"/>
      <c r="AA18" s="23"/>
      <c r="AB18" s="23"/>
      <c r="AC18" s="23"/>
      <c r="AD18" s="23"/>
      <c r="AE18" s="23"/>
      <c r="AF18" s="23"/>
      <c r="AG18" s="23"/>
    </row>
    <row r="19" spans="1:33" x14ac:dyDescent="0.25">
      <c r="A19" s="32">
        <v>16</v>
      </c>
      <c r="B19" s="39"/>
      <c r="C19" s="39"/>
      <c r="D19" s="39"/>
      <c r="E19" s="39"/>
      <c r="F19" s="39"/>
      <c r="G19" s="39"/>
      <c r="H19" s="39"/>
      <c r="I19" s="40"/>
      <c r="J19" s="39"/>
      <c r="K19" s="23"/>
      <c r="L19" s="23"/>
      <c r="M19" s="23"/>
      <c r="N19" s="23"/>
      <c r="O19" s="23"/>
      <c r="P19" s="23"/>
      <c r="Q19" s="23"/>
      <c r="R19" s="23"/>
      <c r="S19" s="23"/>
      <c r="T19" s="23"/>
      <c r="U19" s="23"/>
      <c r="V19" s="23"/>
      <c r="W19" s="23"/>
      <c r="X19" s="23"/>
      <c r="Y19" s="23"/>
      <c r="Z19" s="23"/>
      <c r="AA19" s="23"/>
      <c r="AB19" s="23"/>
      <c r="AC19" s="23"/>
      <c r="AD19" s="23"/>
      <c r="AE19" s="23"/>
      <c r="AF19" s="23"/>
      <c r="AG19" s="23"/>
    </row>
    <row r="20" spans="1:33" x14ac:dyDescent="0.25">
      <c r="A20" s="32">
        <v>17</v>
      </c>
      <c r="B20" s="39"/>
      <c r="C20" s="39"/>
      <c r="D20" s="39"/>
      <c r="E20" s="39"/>
      <c r="F20" s="39"/>
      <c r="G20" s="39"/>
      <c r="H20" s="39"/>
      <c r="I20" s="40"/>
      <c r="J20" s="39"/>
      <c r="K20" s="23"/>
      <c r="L20" s="23"/>
      <c r="M20" s="23"/>
      <c r="N20" s="23"/>
      <c r="O20" s="23"/>
      <c r="P20" s="23"/>
      <c r="Q20" s="23"/>
      <c r="R20" s="23"/>
      <c r="S20" s="23"/>
      <c r="T20" s="23"/>
      <c r="U20" s="23"/>
      <c r="V20" s="23"/>
      <c r="W20" s="23"/>
      <c r="X20" s="23"/>
      <c r="Y20" s="23"/>
      <c r="Z20" s="23"/>
      <c r="AA20" s="23"/>
      <c r="AB20" s="23"/>
      <c r="AC20" s="23"/>
      <c r="AD20" s="23"/>
      <c r="AE20" s="23"/>
      <c r="AF20" s="23"/>
      <c r="AG20" s="23"/>
    </row>
    <row r="21" spans="1:33" x14ac:dyDescent="0.25">
      <c r="A21" s="32">
        <v>18</v>
      </c>
      <c r="B21" s="39"/>
      <c r="C21" s="39"/>
      <c r="D21" s="39"/>
      <c r="E21" s="39"/>
      <c r="F21" s="39"/>
      <c r="G21" s="39"/>
      <c r="H21" s="39"/>
      <c r="I21" s="40"/>
      <c r="J21" s="39"/>
      <c r="K21" s="23"/>
      <c r="L21" s="23"/>
      <c r="M21" s="23"/>
      <c r="N21" s="23"/>
      <c r="O21" s="23"/>
      <c r="P21" s="23"/>
      <c r="Q21" s="23"/>
      <c r="R21" s="23"/>
      <c r="S21" s="23"/>
      <c r="T21" s="23"/>
      <c r="U21" s="23"/>
      <c r="V21" s="23"/>
      <c r="W21" s="23"/>
      <c r="X21" s="23"/>
      <c r="Y21" s="23"/>
      <c r="Z21" s="23"/>
      <c r="AA21" s="23"/>
      <c r="AB21" s="23"/>
      <c r="AC21" s="23"/>
      <c r="AD21" s="23"/>
      <c r="AE21" s="23"/>
      <c r="AF21" s="23"/>
      <c r="AG21" s="23"/>
    </row>
    <row r="22" spans="1:33" x14ac:dyDescent="0.25">
      <c r="A22" s="32">
        <v>19</v>
      </c>
      <c r="B22" s="39"/>
      <c r="C22" s="39"/>
      <c r="D22" s="39"/>
      <c r="E22" s="39"/>
      <c r="F22" s="39"/>
      <c r="G22" s="39"/>
      <c r="H22" s="39"/>
      <c r="I22" s="40"/>
      <c r="J22" s="39"/>
      <c r="K22" s="23"/>
      <c r="L22" s="23"/>
      <c r="M22" s="23"/>
      <c r="N22" s="23"/>
      <c r="O22" s="23"/>
      <c r="P22" s="23"/>
      <c r="Q22" s="23"/>
      <c r="R22" s="23"/>
      <c r="S22" s="23"/>
      <c r="T22" s="23"/>
      <c r="U22" s="23"/>
      <c r="V22" s="23"/>
      <c r="W22" s="23"/>
      <c r="X22" s="23"/>
      <c r="Y22" s="23"/>
      <c r="Z22" s="23"/>
      <c r="AA22" s="23"/>
      <c r="AB22" s="23"/>
      <c r="AC22" s="23"/>
      <c r="AD22" s="23"/>
      <c r="AE22" s="23"/>
      <c r="AF22" s="23"/>
      <c r="AG22" s="23"/>
    </row>
    <row r="23" spans="1:33" x14ac:dyDescent="0.25">
      <c r="A23" s="32">
        <v>20</v>
      </c>
      <c r="B23" s="39"/>
      <c r="C23" s="39"/>
      <c r="D23" s="39"/>
      <c r="E23" s="39"/>
      <c r="F23" s="39"/>
      <c r="G23" s="39"/>
      <c r="H23" s="39"/>
      <c r="I23" s="40"/>
      <c r="J23" s="39"/>
      <c r="K23" s="23"/>
      <c r="L23" s="23"/>
      <c r="M23" s="23"/>
      <c r="N23" s="23"/>
      <c r="O23" s="23"/>
      <c r="P23" s="23"/>
      <c r="Q23" s="23"/>
      <c r="R23" s="23"/>
      <c r="S23" s="23"/>
      <c r="T23" s="23"/>
      <c r="U23" s="23"/>
      <c r="V23" s="23"/>
      <c r="W23" s="23"/>
      <c r="X23" s="23"/>
      <c r="Y23" s="23"/>
      <c r="Z23" s="23"/>
      <c r="AA23" s="23"/>
      <c r="AB23" s="23"/>
      <c r="AC23" s="23"/>
      <c r="AD23" s="23"/>
      <c r="AE23" s="23"/>
      <c r="AF23" s="23"/>
      <c r="AG23" s="23"/>
    </row>
    <row r="24" spans="1:33" x14ac:dyDescent="0.25">
      <c r="A24" s="32">
        <v>21</v>
      </c>
      <c r="B24" s="39"/>
      <c r="C24" s="39"/>
      <c r="D24" s="39"/>
      <c r="E24" s="39"/>
      <c r="F24" s="39"/>
      <c r="G24" s="39"/>
      <c r="H24" s="39"/>
      <c r="I24" s="40"/>
      <c r="J24" s="39"/>
      <c r="K24" s="23"/>
      <c r="L24" s="23"/>
      <c r="M24" s="23"/>
      <c r="N24" s="23"/>
      <c r="O24" s="23"/>
      <c r="P24" s="23"/>
      <c r="Q24" s="23"/>
      <c r="R24" s="23"/>
      <c r="S24" s="23"/>
      <c r="T24" s="23"/>
      <c r="U24" s="23"/>
      <c r="V24" s="23"/>
      <c r="W24" s="23"/>
      <c r="X24" s="23"/>
      <c r="Y24" s="23"/>
      <c r="Z24" s="23"/>
      <c r="AA24" s="23"/>
      <c r="AB24" s="23"/>
      <c r="AC24" s="23"/>
      <c r="AD24" s="23"/>
      <c r="AE24" s="23"/>
      <c r="AF24" s="23"/>
      <c r="AG24" s="23"/>
    </row>
    <row r="25" spans="1:33" x14ac:dyDescent="0.25">
      <c r="A25" s="32">
        <v>22</v>
      </c>
      <c r="B25" s="39"/>
      <c r="C25" s="39"/>
      <c r="D25" s="39"/>
      <c r="E25" s="39"/>
      <c r="F25" s="39"/>
      <c r="G25" s="39"/>
      <c r="H25" s="39"/>
      <c r="I25" s="40"/>
      <c r="J25" s="39"/>
      <c r="K25" s="23"/>
      <c r="L25" s="23"/>
      <c r="M25" s="23"/>
      <c r="N25" s="23"/>
      <c r="O25" s="23"/>
      <c r="P25" s="23"/>
      <c r="Q25" s="23"/>
      <c r="R25" s="23"/>
      <c r="S25" s="23"/>
      <c r="T25" s="23"/>
      <c r="U25" s="23"/>
      <c r="V25" s="23"/>
      <c r="W25" s="23"/>
      <c r="X25" s="23"/>
      <c r="Y25" s="23"/>
      <c r="Z25" s="23"/>
      <c r="AA25" s="23"/>
      <c r="AB25" s="23"/>
      <c r="AC25" s="23"/>
      <c r="AD25" s="23"/>
      <c r="AE25" s="23"/>
      <c r="AF25" s="23"/>
      <c r="AG25" s="23"/>
    </row>
    <row r="26" spans="1:33" x14ac:dyDescent="0.25">
      <c r="A26" s="32">
        <v>23</v>
      </c>
      <c r="B26" s="39"/>
      <c r="C26" s="39"/>
      <c r="D26" s="39"/>
      <c r="E26" s="39"/>
      <c r="F26" s="39"/>
      <c r="G26" s="39"/>
      <c r="H26" s="39"/>
      <c r="I26" s="40"/>
      <c r="J26" s="39"/>
      <c r="K26" s="23"/>
      <c r="L26" s="23"/>
      <c r="M26" s="23"/>
      <c r="N26" s="23"/>
      <c r="O26" s="23"/>
      <c r="P26" s="23"/>
      <c r="Q26" s="23"/>
      <c r="R26" s="23"/>
      <c r="S26" s="23"/>
      <c r="T26" s="23"/>
      <c r="U26" s="23"/>
      <c r="V26" s="23"/>
      <c r="W26" s="23"/>
      <c r="X26" s="23"/>
      <c r="Y26" s="23"/>
      <c r="Z26" s="23"/>
      <c r="AA26" s="23"/>
      <c r="AB26" s="23"/>
      <c r="AC26" s="23"/>
      <c r="AD26" s="23"/>
      <c r="AE26" s="23"/>
      <c r="AF26" s="23"/>
      <c r="AG26" s="23"/>
    </row>
    <row r="27" spans="1:33" x14ac:dyDescent="0.25">
      <c r="A27" s="32">
        <v>24</v>
      </c>
      <c r="B27" s="39"/>
      <c r="C27" s="39"/>
      <c r="D27" s="39"/>
      <c r="E27" s="39"/>
      <c r="F27" s="39"/>
      <c r="G27" s="39"/>
      <c r="H27" s="39"/>
      <c r="I27" s="40"/>
      <c r="J27" s="39"/>
      <c r="K27" s="23"/>
      <c r="L27" s="23"/>
      <c r="M27" s="23"/>
      <c r="N27" s="23"/>
      <c r="O27" s="23"/>
      <c r="P27" s="23"/>
      <c r="Q27" s="23"/>
      <c r="R27" s="23"/>
      <c r="S27" s="23"/>
      <c r="T27" s="23"/>
      <c r="U27" s="23"/>
      <c r="V27" s="23"/>
      <c r="W27" s="23"/>
      <c r="X27" s="23"/>
      <c r="Y27" s="23"/>
      <c r="Z27" s="23"/>
      <c r="AA27" s="23"/>
      <c r="AB27" s="23"/>
      <c r="AC27" s="23"/>
      <c r="AD27" s="23"/>
      <c r="AE27" s="23"/>
      <c r="AF27" s="23"/>
      <c r="AG27" s="23"/>
    </row>
  </sheetData>
  <mergeCells count="2">
    <mergeCell ref="L4:AE4"/>
    <mergeCell ref="L16:AE16"/>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G28"/>
  <sheetViews>
    <sheetView showGridLines="0" workbookViewId="0">
      <selection activeCell="P1" sqref="P1"/>
    </sheetView>
  </sheetViews>
  <sheetFormatPr defaultRowHeight="15.75" x14ac:dyDescent="0.25"/>
  <cols>
    <col min="1" max="1" width="7.875" bestFit="1" customWidth="1"/>
    <col min="2" max="3" width="10" bestFit="1" customWidth="1"/>
    <col min="4" max="4" width="19" bestFit="1" customWidth="1"/>
    <col min="5" max="5" width="8.375" bestFit="1" customWidth="1"/>
    <col min="6" max="6" width="5.375" bestFit="1" customWidth="1"/>
    <col min="7" max="7" width="5.875" bestFit="1" customWidth="1"/>
    <col min="8" max="8" width="11.875" bestFit="1" customWidth="1"/>
    <col min="9" max="9" width="11.875" customWidth="1"/>
    <col min="10" max="10" width="12.125" bestFit="1" customWidth="1"/>
    <col min="11" max="11" width="3.75" customWidth="1"/>
    <col min="12" max="31" width="3.625" customWidth="1"/>
    <col min="32" max="32" width="3" customWidth="1"/>
  </cols>
  <sheetData>
    <row r="1" spans="1:33" x14ac:dyDescent="0.25">
      <c r="A1" s="16"/>
      <c r="B1" s="16"/>
      <c r="C1" s="16"/>
      <c r="D1" s="16"/>
      <c r="E1" s="16"/>
      <c r="F1" s="16"/>
      <c r="G1" s="16"/>
      <c r="H1" s="16"/>
      <c r="I1" s="16"/>
      <c r="J1" s="16"/>
      <c r="K1" s="16"/>
      <c r="L1" s="16"/>
      <c r="M1" s="16"/>
      <c r="N1" s="16"/>
      <c r="O1" s="16"/>
      <c r="P1" s="16"/>
      <c r="Q1" s="16"/>
      <c r="R1" s="16"/>
      <c r="S1" s="17">
        <f t="shared" ref="S1:AB1" si="0">VLOOKUP(MAX($A$3:$A$147),$A$3:$H$147,2)</f>
        <v>0</v>
      </c>
      <c r="T1" s="17">
        <f t="shared" si="0"/>
        <v>0</v>
      </c>
      <c r="U1" s="17">
        <f t="shared" si="0"/>
        <v>0</v>
      </c>
      <c r="V1" s="17">
        <f t="shared" si="0"/>
        <v>0</v>
      </c>
      <c r="W1" s="17">
        <f t="shared" si="0"/>
        <v>0</v>
      </c>
      <c r="X1" s="17">
        <f t="shared" si="0"/>
        <v>0</v>
      </c>
      <c r="Y1" s="17">
        <f t="shared" si="0"/>
        <v>0</v>
      </c>
      <c r="Z1" s="17">
        <f t="shared" si="0"/>
        <v>0</v>
      </c>
      <c r="AA1" s="17">
        <f t="shared" si="0"/>
        <v>0</v>
      </c>
      <c r="AB1" s="17">
        <f t="shared" si="0"/>
        <v>0</v>
      </c>
      <c r="AC1" s="18"/>
      <c r="AD1" s="18"/>
      <c r="AE1" s="18"/>
      <c r="AF1" s="18"/>
      <c r="AG1" s="18"/>
    </row>
    <row r="2" spans="1:33" ht="16.5" thickBot="1" x14ac:dyDescent="0.3">
      <c r="A2" s="73"/>
      <c r="B2" s="20"/>
      <c r="C2" s="20"/>
      <c r="D2" s="20"/>
      <c r="E2" s="20"/>
      <c r="F2" s="20"/>
      <c r="G2" s="20"/>
      <c r="H2" s="20"/>
      <c r="I2" s="22"/>
      <c r="J2" s="20"/>
      <c r="K2" s="23"/>
      <c r="L2" s="23"/>
      <c r="M2" s="23"/>
      <c r="N2" s="23"/>
      <c r="O2" s="23"/>
      <c r="P2" s="23"/>
      <c r="Q2" s="23"/>
      <c r="R2" s="23"/>
      <c r="S2" s="23"/>
      <c r="T2" s="23"/>
      <c r="U2" s="23"/>
      <c r="V2" s="23"/>
      <c r="W2" s="23"/>
      <c r="X2" s="23"/>
      <c r="Y2" s="23"/>
      <c r="Z2" s="23"/>
      <c r="AA2" s="23"/>
      <c r="AB2" s="23"/>
      <c r="AC2" s="23"/>
      <c r="AD2" s="23"/>
      <c r="AE2" s="23"/>
      <c r="AF2" s="23"/>
      <c r="AG2" s="23"/>
    </row>
    <row r="3" spans="1:33" x14ac:dyDescent="0.25">
      <c r="A3" s="68" t="s">
        <v>38</v>
      </c>
      <c r="B3" s="69" t="s">
        <v>39</v>
      </c>
      <c r="C3" s="69" t="s">
        <v>40</v>
      </c>
      <c r="D3" s="69" t="s">
        <v>41</v>
      </c>
      <c r="E3" s="68" t="s">
        <v>42</v>
      </c>
      <c r="F3" s="68" t="s">
        <v>43</v>
      </c>
      <c r="G3" s="68" t="s">
        <v>44</v>
      </c>
      <c r="H3" s="68" t="s">
        <v>45</v>
      </c>
      <c r="I3" s="68" t="s">
        <v>46</v>
      </c>
      <c r="J3" s="68" t="s">
        <v>47</v>
      </c>
      <c r="K3" s="23"/>
      <c r="L3" s="29"/>
      <c r="M3" s="30"/>
      <c r="N3" s="30"/>
      <c r="O3" s="30"/>
      <c r="P3" s="30"/>
      <c r="Q3" s="30"/>
      <c r="R3" s="30"/>
      <c r="S3" s="30"/>
      <c r="T3" s="30"/>
      <c r="U3" s="30"/>
      <c r="V3" s="30"/>
      <c r="W3" s="30"/>
      <c r="X3" s="30"/>
      <c r="Y3" s="30"/>
      <c r="Z3" s="30"/>
      <c r="AA3" s="30"/>
      <c r="AB3" s="30"/>
      <c r="AC3" s="30"/>
      <c r="AD3" s="30"/>
      <c r="AE3" s="31"/>
      <c r="AF3" s="23"/>
      <c r="AG3" s="23"/>
    </row>
    <row r="4" spans="1:33" x14ac:dyDescent="0.25">
      <c r="A4" s="32">
        <v>1</v>
      </c>
      <c r="B4" s="33" t="s">
        <v>48</v>
      </c>
      <c r="C4" s="34" t="s">
        <v>49</v>
      </c>
      <c r="D4" s="34" t="s">
        <v>50</v>
      </c>
      <c r="E4" s="34" t="s">
        <v>51</v>
      </c>
      <c r="F4" s="35" t="s">
        <v>52</v>
      </c>
      <c r="G4" s="35">
        <v>30062</v>
      </c>
      <c r="H4" s="33" t="s">
        <v>53</v>
      </c>
      <c r="I4" s="37" t="s">
        <v>54</v>
      </c>
      <c r="J4" s="70">
        <v>157665</v>
      </c>
      <c r="K4" s="23"/>
      <c r="L4" s="300" t="s">
        <v>55</v>
      </c>
      <c r="M4" s="301"/>
      <c r="N4" s="301"/>
      <c r="O4" s="301"/>
      <c r="P4" s="301"/>
      <c r="Q4" s="301"/>
      <c r="R4" s="301"/>
      <c r="S4" s="301"/>
      <c r="T4" s="301"/>
      <c r="U4" s="301"/>
      <c r="V4" s="301"/>
      <c r="W4" s="301"/>
      <c r="X4" s="301"/>
      <c r="Y4" s="301"/>
      <c r="Z4" s="301"/>
      <c r="AA4" s="301"/>
      <c r="AB4" s="301"/>
      <c r="AC4" s="301"/>
      <c r="AD4" s="301"/>
      <c r="AE4" s="302"/>
      <c r="AF4" s="23"/>
      <c r="AG4" s="23"/>
    </row>
    <row r="5" spans="1:33" x14ac:dyDescent="0.25">
      <c r="A5" s="32">
        <v>2</v>
      </c>
      <c r="B5" s="39" t="s">
        <v>56</v>
      </c>
      <c r="C5" s="39" t="s">
        <v>57</v>
      </c>
      <c r="D5" s="39" t="s">
        <v>58</v>
      </c>
      <c r="E5" s="39" t="s">
        <v>51</v>
      </c>
      <c r="F5" s="40" t="s">
        <v>52</v>
      </c>
      <c r="G5" s="40">
        <v>30063</v>
      </c>
      <c r="H5" s="42" t="s">
        <v>59</v>
      </c>
      <c r="I5" s="43" t="s">
        <v>60</v>
      </c>
      <c r="J5" s="71">
        <v>156340</v>
      </c>
      <c r="K5" s="23"/>
      <c r="L5" s="45"/>
      <c r="M5" s="46"/>
      <c r="N5" s="46"/>
      <c r="O5" s="46"/>
      <c r="P5" s="46"/>
      <c r="Q5" s="46"/>
      <c r="R5" s="46"/>
      <c r="S5" s="46"/>
      <c r="T5" s="46"/>
      <c r="U5" s="46"/>
      <c r="V5" s="46"/>
      <c r="W5" s="46"/>
      <c r="X5" s="46"/>
      <c r="Y5" s="46"/>
      <c r="Z5" s="46"/>
      <c r="AA5" s="46"/>
      <c r="AB5" s="46"/>
      <c r="AC5" s="46"/>
      <c r="AD5" s="46"/>
      <c r="AE5" s="47"/>
      <c r="AF5" s="23"/>
      <c r="AG5" s="23"/>
    </row>
    <row r="6" spans="1:33" x14ac:dyDescent="0.25">
      <c r="A6" s="32">
        <v>3</v>
      </c>
      <c r="B6" s="39" t="s">
        <v>61</v>
      </c>
      <c r="C6" s="42" t="s">
        <v>62</v>
      </c>
      <c r="D6" s="39" t="s">
        <v>63</v>
      </c>
      <c r="E6" s="39" t="s">
        <v>51</v>
      </c>
      <c r="F6" s="40" t="s">
        <v>52</v>
      </c>
      <c r="G6" s="40">
        <v>30064</v>
      </c>
      <c r="H6" s="42" t="s">
        <v>64</v>
      </c>
      <c r="I6" s="43" t="s">
        <v>65</v>
      </c>
      <c r="J6" s="71">
        <v>81480</v>
      </c>
      <c r="K6" s="23"/>
      <c r="L6" s="45"/>
      <c r="M6" s="48" t="s">
        <v>39</v>
      </c>
      <c r="N6" s="46"/>
      <c r="O6" s="46"/>
      <c r="P6" s="76" t="str">
        <f>VLOOKUP(COUNT($J$4:$J$104),$A$4:$J$104,2,FALSE)</f>
        <v>Collins</v>
      </c>
      <c r="Q6" s="50"/>
      <c r="R6" s="50"/>
      <c r="S6" s="50"/>
      <c r="T6" s="50"/>
      <c r="U6" s="51"/>
      <c r="V6" s="46"/>
      <c r="W6" s="52" t="s">
        <v>42</v>
      </c>
      <c r="X6" s="46"/>
      <c r="Y6" s="49" t="str">
        <f>VLOOKUP(COUNT($J$4:$J$104),$A$4:$J$104,5,FALSE)</f>
        <v>Norcross</v>
      </c>
      <c r="Z6" s="50"/>
      <c r="AA6" s="50"/>
      <c r="AB6" s="50"/>
      <c r="AC6" s="50"/>
      <c r="AD6" s="51"/>
      <c r="AE6" s="47"/>
      <c r="AF6" s="23"/>
      <c r="AG6" s="23"/>
    </row>
    <row r="7" spans="1:33" x14ac:dyDescent="0.25">
      <c r="A7" s="32">
        <v>4</v>
      </c>
      <c r="B7" s="39" t="s">
        <v>66</v>
      </c>
      <c r="C7" s="42" t="s">
        <v>67</v>
      </c>
      <c r="D7" s="39" t="s">
        <v>68</v>
      </c>
      <c r="E7" s="39" t="s">
        <v>51</v>
      </c>
      <c r="F7" s="40" t="s">
        <v>52</v>
      </c>
      <c r="G7" s="40">
        <v>30065</v>
      </c>
      <c r="H7" s="42" t="s">
        <v>69</v>
      </c>
      <c r="I7" s="43" t="s">
        <v>54</v>
      </c>
      <c r="J7" s="71">
        <v>202578</v>
      </c>
      <c r="K7" s="23"/>
      <c r="L7" s="45"/>
      <c r="M7" s="46"/>
      <c r="N7" s="46"/>
      <c r="O7" s="46"/>
      <c r="P7" s="46"/>
      <c r="Q7" s="46"/>
      <c r="R7" s="46"/>
      <c r="S7" s="46"/>
      <c r="T7" s="46"/>
      <c r="U7" s="46"/>
      <c r="V7" s="46"/>
      <c r="W7" s="46"/>
      <c r="X7" s="46"/>
      <c r="Y7" s="46"/>
      <c r="Z7" s="46"/>
      <c r="AA7" s="46"/>
      <c r="AB7" s="46"/>
      <c r="AC7" s="46"/>
      <c r="AD7" s="46"/>
      <c r="AE7" s="47"/>
      <c r="AF7" s="23"/>
      <c r="AG7" s="23"/>
    </row>
    <row r="8" spans="1:33" x14ac:dyDescent="0.25">
      <c r="A8" s="32">
        <v>5</v>
      </c>
      <c r="B8" s="42" t="s">
        <v>70</v>
      </c>
      <c r="C8" s="39" t="s">
        <v>71</v>
      </c>
      <c r="D8" s="39" t="s">
        <v>72</v>
      </c>
      <c r="E8" s="39" t="s">
        <v>51</v>
      </c>
      <c r="F8" s="40" t="s">
        <v>52</v>
      </c>
      <c r="G8" s="40">
        <v>30066</v>
      </c>
      <c r="H8" s="42" t="s">
        <v>73</v>
      </c>
      <c r="I8" s="43" t="s">
        <v>60</v>
      </c>
      <c r="J8" s="71">
        <v>177209</v>
      </c>
      <c r="K8" s="23"/>
      <c r="L8" s="45"/>
      <c r="M8" s="48" t="s">
        <v>40</v>
      </c>
      <c r="N8" s="46"/>
      <c r="O8" s="46"/>
      <c r="P8" s="49" t="str">
        <f>VLOOKUP(COUNT($J$4:$J$104),$A$4:$J$104,3,FALSE)</f>
        <v>Carlton</v>
      </c>
      <c r="Q8" s="50"/>
      <c r="R8" s="50"/>
      <c r="S8" s="50"/>
      <c r="T8" s="50"/>
      <c r="U8" s="51"/>
      <c r="V8" s="46"/>
      <c r="W8" s="52" t="s">
        <v>43</v>
      </c>
      <c r="X8" s="46"/>
      <c r="Y8" s="49" t="str">
        <f>VLOOKUP(COUNT($J$4:$J$104),$A$4:$J$104,6,FALSE)</f>
        <v xml:space="preserve">GA </v>
      </c>
      <c r="Z8" s="50"/>
      <c r="AA8" s="50"/>
      <c r="AB8" s="50"/>
      <c r="AC8" s="50"/>
      <c r="AD8" s="51"/>
      <c r="AE8" s="47"/>
      <c r="AF8" s="23"/>
      <c r="AG8" s="23"/>
    </row>
    <row r="9" spans="1:33" x14ac:dyDescent="0.25">
      <c r="A9" s="32">
        <v>6</v>
      </c>
      <c r="B9" s="39" t="s">
        <v>74</v>
      </c>
      <c r="C9" s="39" t="s">
        <v>75</v>
      </c>
      <c r="D9" s="39" t="s">
        <v>76</v>
      </c>
      <c r="E9" s="39" t="s">
        <v>77</v>
      </c>
      <c r="F9" s="40" t="s">
        <v>52</v>
      </c>
      <c r="G9" s="40">
        <v>30092</v>
      </c>
      <c r="H9" s="42" t="s">
        <v>78</v>
      </c>
      <c r="I9" s="43" t="s">
        <v>65</v>
      </c>
      <c r="J9" s="71">
        <v>212254.23</v>
      </c>
      <c r="K9" s="23"/>
      <c r="L9" s="45"/>
      <c r="M9" s="46"/>
      <c r="N9" s="46"/>
      <c r="O9" s="46"/>
      <c r="P9" s="46"/>
      <c r="Q9" s="46"/>
      <c r="R9" s="46"/>
      <c r="S9" s="46"/>
      <c r="T9" s="46"/>
      <c r="U9" s="46"/>
      <c r="V9" s="46"/>
      <c r="W9" s="46"/>
      <c r="X9" s="46"/>
      <c r="Y9" s="46"/>
      <c r="Z9" s="46"/>
      <c r="AA9" s="46"/>
      <c r="AB9" s="46"/>
      <c r="AC9" s="46"/>
      <c r="AD9" s="46"/>
      <c r="AE9" s="47"/>
      <c r="AF9" s="23"/>
      <c r="AG9" s="23"/>
    </row>
    <row r="10" spans="1:33" x14ac:dyDescent="0.25">
      <c r="A10" s="32">
        <v>7</v>
      </c>
      <c r="B10" s="39" t="s">
        <v>79</v>
      </c>
      <c r="C10" s="39" t="s">
        <v>80</v>
      </c>
      <c r="D10" s="39" t="s">
        <v>50</v>
      </c>
      <c r="E10" s="39" t="s">
        <v>81</v>
      </c>
      <c r="F10" s="40" t="s">
        <v>82</v>
      </c>
      <c r="G10" s="40">
        <v>30092</v>
      </c>
      <c r="H10" s="42" t="s">
        <v>53</v>
      </c>
      <c r="I10" s="43" t="s">
        <v>54</v>
      </c>
      <c r="J10" s="71">
        <v>124533.45</v>
      </c>
      <c r="K10" s="23"/>
      <c r="L10" s="45"/>
      <c r="M10" s="48" t="s">
        <v>41</v>
      </c>
      <c r="N10" s="46"/>
      <c r="O10" s="46"/>
      <c r="P10" s="49" t="str">
        <f>VLOOKUP(COUNT($J$4:$J$104),$A$4:$J$104,4,FALSE)</f>
        <v>100 Peachtree Street</v>
      </c>
      <c r="Q10" s="50"/>
      <c r="R10" s="50"/>
      <c r="S10" s="50"/>
      <c r="T10" s="50"/>
      <c r="U10" s="51"/>
      <c r="V10" s="46"/>
      <c r="W10" s="52" t="s">
        <v>44</v>
      </c>
      <c r="X10" s="46"/>
      <c r="Y10" s="49" t="str">
        <f>TEXT(VLOOKUP(COUNT($J$4:$J$104),$A$4:$J$104,7,FALSE),0)</f>
        <v>30092</v>
      </c>
      <c r="Z10" s="50"/>
      <c r="AA10" s="50"/>
      <c r="AB10" s="50"/>
      <c r="AC10" s="50"/>
      <c r="AD10" s="51"/>
      <c r="AE10" s="47"/>
      <c r="AF10" s="23"/>
      <c r="AG10" s="23"/>
    </row>
    <row r="11" spans="1:33" x14ac:dyDescent="0.25">
      <c r="A11" s="32">
        <v>8</v>
      </c>
      <c r="B11" s="39"/>
      <c r="C11" s="39"/>
      <c r="D11" s="39"/>
      <c r="E11" s="39"/>
      <c r="F11" s="39"/>
      <c r="G11" s="39"/>
      <c r="H11" s="39"/>
      <c r="I11" s="40"/>
      <c r="J11" s="39"/>
      <c r="K11" s="23"/>
      <c r="L11" s="45"/>
      <c r="M11" s="46"/>
      <c r="N11" s="46"/>
      <c r="O11" s="46"/>
      <c r="P11" s="46"/>
      <c r="Q11" s="46"/>
      <c r="R11" s="46"/>
      <c r="S11" s="46"/>
      <c r="T11" s="46"/>
      <c r="U11" s="46"/>
      <c r="V11" s="46"/>
      <c r="W11" s="46"/>
      <c r="X11" s="46"/>
      <c r="Y11" s="46"/>
      <c r="Z11" s="46"/>
      <c r="AA11" s="46"/>
      <c r="AB11" s="46"/>
      <c r="AC11" s="46"/>
      <c r="AD11" s="46"/>
      <c r="AE11" s="47"/>
      <c r="AF11" s="23"/>
      <c r="AG11" s="23"/>
    </row>
    <row r="12" spans="1:33" x14ac:dyDescent="0.25">
      <c r="A12" s="32">
        <v>9</v>
      </c>
      <c r="B12" s="39"/>
      <c r="C12" s="39"/>
      <c r="D12" s="39"/>
      <c r="E12" s="39"/>
      <c r="F12" s="39"/>
      <c r="G12" s="39"/>
      <c r="H12" s="39"/>
      <c r="I12" s="40"/>
      <c r="J12" s="39"/>
      <c r="K12" s="23"/>
      <c r="L12" s="45"/>
      <c r="M12" s="52" t="s">
        <v>45</v>
      </c>
      <c r="N12" s="46"/>
      <c r="O12" s="46"/>
      <c r="P12" s="49" t="str">
        <f>VLOOKUP(COUNT($J$4:$J$104),$A$4:$J$104,8,FALSE)</f>
        <v>770.842.5902</v>
      </c>
      <c r="Q12" s="50"/>
      <c r="R12" s="50"/>
      <c r="S12" s="50"/>
      <c r="T12" s="50"/>
      <c r="U12" s="51"/>
      <c r="V12" s="46"/>
      <c r="W12" s="60" t="s">
        <v>99</v>
      </c>
      <c r="X12" s="46"/>
      <c r="Y12" s="49" t="str">
        <f>VLOOKUP(COUNT($J$4:$J$104),$A$4:$J$104,9,FALSE)</f>
        <v>Plan A</v>
      </c>
      <c r="Z12" s="50"/>
      <c r="AA12" s="50"/>
      <c r="AB12" s="50"/>
      <c r="AC12" s="50"/>
      <c r="AD12" s="51"/>
      <c r="AE12" s="47"/>
      <c r="AF12" s="23"/>
      <c r="AG12" s="23"/>
    </row>
    <row r="13" spans="1:33" x14ac:dyDescent="0.25">
      <c r="A13" s="32">
        <v>10</v>
      </c>
      <c r="B13" s="39"/>
      <c r="C13" s="39"/>
      <c r="D13" s="39"/>
      <c r="E13" s="39"/>
      <c r="F13" s="39"/>
      <c r="G13" s="39"/>
      <c r="H13" s="39"/>
      <c r="I13" s="40"/>
      <c r="J13" s="39"/>
      <c r="K13" s="23"/>
      <c r="L13" s="45"/>
      <c r="M13" s="46"/>
      <c r="N13" s="46"/>
      <c r="O13" s="46"/>
      <c r="P13" s="46"/>
      <c r="Q13" s="46"/>
      <c r="R13" s="46"/>
      <c r="S13" s="46"/>
      <c r="T13" s="46"/>
      <c r="U13" s="46"/>
      <c r="V13" s="46"/>
      <c r="W13" s="46"/>
      <c r="X13" s="46"/>
      <c r="Y13" s="46"/>
      <c r="Z13" s="46"/>
      <c r="AA13" s="46"/>
      <c r="AB13" s="46"/>
      <c r="AC13" s="46"/>
      <c r="AD13" s="46"/>
      <c r="AE13" s="47"/>
      <c r="AF13" s="23"/>
      <c r="AG13" s="23"/>
    </row>
    <row r="14" spans="1:33" x14ac:dyDescent="0.25">
      <c r="A14" s="32">
        <v>11</v>
      </c>
      <c r="B14" s="39"/>
      <c r="C14" s="39"/>
      <c r="D14" s="39"/>
      <c r="E14" s="39"/>
      <c r="F14" s="39"/>
      <c r="G14" s="39"/>
      <c r="H14" s="39"/>
      <c r="I14" s="40"/>
      <c r="J14" s="39"/>
      <c r="K14" s="23"/>
      <c r="L14" s="45"/>
      <c r="M14" s="52" t="s">
        <v>90</v>
      </c>
      <c r="N14" s="46"/>
      <c r="O14" s="46"/>
      <c r="P14" s="46"/>
      <c r="Q14" s="46"/>
      <c r="R14" s="46"/>
      <c r="S14" s="46"/>
      <c r="T14" s="46"/>
      <c r="U14" s="46"/>
      <c r="V14" s="46"/>
      <c r="W14" s="46"/>
      <c r="X14" s="46"/>
      <c r="Y14" s="76" t="str">
        <f>TEXT(VLOOKUP(COUNT($J$4:$J$104),$A$4:$J$104,10,FALSE),"$#,###.##")</f>
        <v>$124,533.45</v>
      </c>
      <c r="Z14" s="50"/>
      <c r="AA14" s="50"/>
      <c r="AB14" s="50"/>
      <c r="AC14" s="50"/>
      <c r="AD14" s="51"/>
      <c r="AE14" s="47"/>
      <c r="AF14" s="23"/>
      <c r="AG14" s="23"/>
    </row>
    <row r="15" spans="1:33" x14ac:dyDescent="0.25">
      <c r="A15" s="32">
        <v>12</v>
      </c>
      <c r="B15" s="39"/>
      <c r="C15" s="39"/>
      <c r="D15" s="39"/>
      <c r="E15" s="39"/>
      <c r="F15" s="39"/>
      <c r="G15" s="39"/>
      <c r="H15" s="39"/>
      <c r="I15" s="40"/>
      <c r="J15" s="39"/>
      <c r="K15" s="23"/>
      <c r="L15" s="45"/>
      <c r="M15" s="46"/>
      <c r="N15" s="46"/>
      <c r="O15" s="46"/>
      <c r="P15" s="46"/>
      <c r="Q15" s="46"/>
      <c r="R15" s="46"/>
      <c r="S15" s="46"/>
      <c r="T15" s="46"/>
      <c r="U15" s="46"/>
      <c r="V15" s="46"/>
      <c r="W15" s="46"/>
      <c r="X15" s="46"/>
      <c r="Y15" s="46"/>
      <c r="Z15" s="46"/>
      <c r="AA15" s="46"/>
      <c r="AB15" s="46"/>
      <c r="AC15" s="46"/>
      <c r="AD15" s="46"/>
      <c r="AE15" s="47"/>
      <c r="AF15" s="23"/>
      <c r="AG15" s="23"/>
    </row>
    <row r="16" spans="1:33" x14ac:dyDescent="0.25">
      <c r="A16" s="32">
        <v>13</v>
      </c>
      <c r="B16" s="39"/>
      <c r="C16" s="39"/>
      <c r="D16" s="39"/>
      <c r="E16" s="39"/>
      <c r="F16" s="39"/>
      <c r="G16" s="39"/>
      <c r="H16" s="39"/>
      <c r="I16" s="40"/>
      <c r="J16" s="39"/>
      <c r="K16" s="23"/>
      <c r="L16" s="303" t="s">
        <v>91</v>
      </c>
      <c r="M16" s="304"/>
      <c r="N16" s="304"/>
      <c r="O16" s="304"/>
      <c r="P16" s="304"/>
      <c r="Q16" s="304"/>
      <c r="R16" s="304"/>
      <c r="S16" s="304"/>
      <c r="T16" s="304"/>
      <c r="U16" s="304"/>
      <c r="V16" s="304"/>
      <c r="W16" s="304"/>
      <c r="X16" s="304"/>
      <c r="Y16" s="304"/>
      <c r="Z16" s="304"/>
      <c r="AA16" s="304"/>
      <c r="AB16" s="304"/>
      <c r="AC16" s="304"/>
      <c r="AD16" s="304"/>
      <c r="AE16" s="305"/>
      <c r="AF16" s="23"/>
      <c r="AG16" s="23"/>
    </row>
    <row r="17" spans="1:33" ht="16.5" thickBot="1" x14ac:dyDescent="0.3">
      <c r="A17" s="32">
        <v>14</v>
      </c>
      <c r="B17" s="39"/>
      <c r="C17" s="39"/>
      <c r="D17" s="39"/>
      <c r="E17" s="39"/>
      <c r="F17" s="39"/>
      <c r="G17" s="39"/>
      <c r="H17" s="39"/>
      <c r="I17" s="40"/>
      <c r="J17" s="39"/>
      <c r="K17" s="23"/>
      <c r="L17" s="61"/>
      <c r="M17" s="62"/>
      <c r="N17" s="62"/>
      <c r="O17" s="62"/>
      <c r="P17" s="62"/>
      <c r="Q17" s="62"/>
      <c r="R17" s="62"/>
      <c r="S17" s="62"/>
      <c r="T17" s="62"/>
      <c r="U17" s="62"/>
      <c r="V17" s="62"/>
      <c r="W17" s="62"/>
      <c r="X17" s="62"/>
      <c r="Y17" s="62"/>
      <c r="Z17" s="62"/>
      <c r="AA17" s="62"/>
      <c r="AB17" s="62"/>
      <c r="AC17" s="62"/>
      <c r="AD17" s="62"/>
      <c r="AE17" s="63"/>
      <c r="AF17" s="23"/>
      <c r="AG17" s="23"/>
    </row>
    <row r="18" spans="1:33" x14ac:dyDescent="0.25">
      <c r="A18" s="32">
        <v>15</v>
      </c>
      <c r="B18" s="39"/>
      <c r="C18" s="39"/>
      <c r="D18" s="39"/>
      <c r="E18" s="39"/>
      <c r="F18" s="39"/>
      <c r="G18" s="39"/>
      <c r="H18" s="39"/>
      <c r="I18" s="40"/>
      <c r="J18" s="39"/>
      <c r="K18" s="23"/>
      <c r="L18" s="23"/>
      <c r="M18" s="23"/>
      <c r="N18" s="23"/>
      <c r="O18" s="23"/>
      <c r="P18" s="23"/>
      <c r="Q18" s="23"/>
      <c r="R18" s="23"/>
      <c r="S18" s="23"/>
      <c r="T18" s="23"/>
      <c r="U18" s="23"/>
      <c r="V18" s="23"/>
      <c r="W18" s="23"/>
      <c r="X18" s="23"/>
      <c r="Y18" s="23"/>
      <c r="Z18" s="23"/>
      <c r="AA18" s="23"/>
      <c r="AB18" s="23"/>
      <c r="AC18" s="23"/>
      <c r="AD18" s="23"/>
      <c r="AE18" s="23"/>
      <c r="AF18" s="23"/>
      <c r="AG18" s="23"/>
    </row>
    <row r="19" spans="1:33" x14ac:dyDescent="0.25">
      <c r="A19" s="32">
        <v>16</v>
      </c>
      <c r="B19" s="39"/>
      <c r="C19" s="39"/>
      <c r="D19" s="39"/>
      <c r="E19" s="39"/>
      <c r="F19" s="39"/>
      <c r="G19" s="39"/>
      <c r="H19" s="39"/>
      <c r="I19" s="40"/>
      <c r="J19" s="39"/>
      <c r="K19" s="23"/>
      <c r="L19" s="23"/>
      <c r="M19" s="23"/>
      <c r="N19" s="23"/>
      <c r="O19" s="23"/>
      <c r="P19" s="23"/>
      <c r="Q19" s="23"/>
      <c r="R19" s="23"/>
      <c r="S19" s="23"/>
      <c r="T19" s="23"/>
      <c r="U19" s="23"/>
      <c r="V19" s="23"/>
      <c r="W19" s="23"/>
      <c r="X19" s="23"/>
      <c r="Y19" s="23"/>
      <c r="Z19" s="23"/>
      <c r="AA19" s="23"/>
      <c r="AB19" s="23"/>
      <c r="AC19" s="23"/>
      <c r="AD19" s="23"/>
      <c r="AE19" s="23"/>
      <c r="AF19" s="23"/>
      <c r="AG19" s="23"/>
    </row>
    <row r="20" spans="1:33" x14ac:dyDescent="0.25">
      <c r="A20" s="32">
        <v>17</v>
      </c>
      <c r="B20" s="39"/>
      <c r="C20" s="39"/>
      <c r="D20" s="39"/>
      <c r="E20" s="39"/>
      <c r="F20" s="39"/>
      <c r="G20" s="39"/>
      <c r="H20" s="39"/>
      <c r="I20" s="40"/>
      <c r="J20" s="39"/>
      <c r="K20" s="23"/>
      <c r="L20" s="23"/>
      <c r="M20" s="23"/>
      <c r="N20" s="23"/>
      <c r="O20" s="23"/>
      <c r="P20" s="23"/>
      <c r="Q20" s="23"/>
      <c r="R20" s="23"/>
      <c r="S20" s="23"/>
      <c r="T20" s="23"/>
      <c r="U20" s="23"/>
      <c r="V20" s="23"/>
      <c r="W20" s="23"/>
      <c r="X20" s="23"/>
      <c r="Y20" s="23"/>
      <c r="Z20" s="23"/>
      <c r="AA20" s="23"/>
      <c r="AB20" s="23"/>
      <c r="AC20" s="23"/>
      <c r="AD20" s="23"/>
      <c r="AE20" s="23"/>
      <c r="AF20" s="23"/>
      <c r="AG20" s="23"/>
    </row>
    <row r="21" spans="1:33" x14ac:dyDescent="0.25">
      <c r="A21" s="32">
        <v>18</v>
      </c>
      <c r="B21" s="39"/>
      <c r="C21" s="39"/>
      <c r="D21" s="39"/>
      <c r="E21" s="39"/>
      <c r="F21" s="39"/>
      <c r="G21" s="39"/>
      <c r="H21" s="39"/>
      <c r="I21" s="40"/>
      <c r="J21" s="39"/>
      <c r="K21" s="23"/>
      <c r="L21" s="23"/>
      <c r="M21" s="23"/>
      <c r="N21" s="23"/>
      <c r="O21" s="23"/>
      <c r="P21" s="23"/>
      <c r="Q21" s="23"/>
      <c r="R21" s="23"/>
      <c r="S21" s="23"/>
      <c r="T21" s="23"/>
      <c r="U21" s="23"/>
      <c r="V21" s="23"/>
      <c r="W21" s="23"/>
      <c r="X21" s="23"/>
      <c r="Y21" s="23"/>
      <c r="Z21" s="23"/>
      <c r="AA21" s="23"/>
      <c r="AB21" s="23"/>
      <c r="AC21" s="23"/>
      <c r="AD21" s="23"/>
      <c r="AE21" s="23"/>
      <c r="AF21" s="23"/>
      <c r="AG21" s="23"/>
    </row>
    <row r="22" spans="1:33" x14ac:dyDescent="0.25">
      <c r="A22" s="32">
        <v>19</v>
      </c>
      <c r="B22" s="39"/>
      <c r="C22" s="39"/>
      <c r="D22" s="39"/>
      <c r="E22" s="39"/>
      <c r="F22" s="39"/>
      <c r="G22" s="39"/>
      <c r="H22" s="39"/>
      <c r="I22" s="40"/>
      <c r="J22" s="39"/>
      <c r="K22" s="23"/>
      <c r="L22" s="23"/>
      <c r="M22" s="23"/>
      <c r="N22" s="23"/>
      <c r="O22" s="23"/>
      <c r="P22" s="23"/>
      <c r="Q22" s="23"/>
      <c r="R22" s="23"/>
      <c r="S22" s="23"/>
      <c r="T22" s="23"/>
      <c r="U22" s="23"/>
      <c r="V22" s="23"/>
      <c r="W22" s="23"/>
      <c r="X22" s="23"/>
      <c r="Y22" s="23"/>
      <c r="Z22" s="23"/>
      <c r="AA22" s="23"/>
      <c r="AB22" s="23"/>
      <c r="AC22" s="23"/>
      <c r="AD22" s="23"/>
      <c r="AE22" s="23"/>
      <c r="AF22" s="23"/>
      <c r="AG22" s="23"/>
    </row>
    <row r="23" spans="1:33" x14ac:dyDescent="0.25">
      <c r="A23" s="32">
        <v>20</v>
      </c>
      <c r="B23" s="39"/>
      <c r="C23" s="39"/>
      <c r="D23" s="39"/>
      <c r="E23" s="39"/>
      <c r="F23" s="39"/>
      <c r="G23" s="39"/>
      <c r="H23" s="39"/>
      <c r="I23" s="40"/>
      <c r="J23" s="39"/>
      <c r="K23" s="23"/>
      <c r="L23" s="23"/>
      <c r="M23" s="23"/>
      <c r="N23" s="23"/>
      <c r="O23" s="23"/>
      <c r="P23" s="23"/>
      <c r="Q23" s="23"/>
      <c r="R23" s="23"/>
      <c r="S23" s="23"/>
      <c r="T23" s="23"/>
      <c r="U23" s="23"/>
      <c r="V23" s="23"/>
      <c r="W23" s="23"/>
      <c r="X23" s="23"/>
      <c r="Y23" s="23"/>
      <c r="Z23" s="23"/>
      <c r="AA23" s="23"/>
      <c r="AB23" s="23"/>
      <c r="AC23" s="23"/>
      <c r="AD23" s="23"/>
      <c r="AE23" s="23"/>
      <c r="AF23" s="23"/>
      <c r="AG23" s="23"/>
    </row>
    <row r="24" spans="1:33" x14ac:dyDescent="0.25">
      <c r="A24" s="32">
        <v>21</v>
      </c>
      <c r="B24" s="39"/>
      <c r="C24" s="39"/>
      <c r="D24" s="39"/>
      <c r="E24" s="39"/>
      <c r="F24" s="39"/>
      <c r="G24" s="39"/>
      <c r="H24" s="39"/>
      <c r="I24" s="40"/>
      <c r="J24" s="39"/>
      <c r="K24" s="23"/>
      <c r="L24" s="23"/>
      <c r="M24" s="23"/>
      <c r="N24" s="23"/>
      <c r="O24" s="23"/>
      <c r="P24" s="23"/>
      <c r="Q24" s="23"/>
      <c r="R24" s="23"/>
      <c r="S24" s="23"/>
      <c r="T24" s="23"/>
      <c r="U24" s="23"/>
      <c r="V24" s="23"/>
      <c r="W24" s="23"/>
      <c r="X24" s="23"/>
      <c r="Y24" s="23"/>
      <c r="Z24" s="23"/>
      <c r="AA24" s="23"/>
      <c r="AB24" s="23"/>
      <c r="AC24" s="23"/>
      <c r="AD24" s="23"/>
      <c r="AE24" s="23"/>
      <c r="AF24" s="23"/>
      <c r="AG24" s="23"/>
    </row>
    <row r="25" spans="1:33" x14ac:dyDescent="0.25">
      <c r="A25" s="32">
        <v>22</v>
      </c>
      <c r="B25" s="39"/>
      <c r="C25" s="39"/>
      <c r="D25" s="39"/>
      <c r="E25" s="39"/>
      <c r="F25" s="39"/>
      <c r="G25" s="39"/>
      <c r="H25" s="39"/>
      <c r="I25" s="40"/>
      <c r="J25" s="39"/>
      <c r="K25" s="23"/>
      <c r="L25" s="23"/>
      <c r="M25" s="23"/>
      <c r="N25" s="23"/>
      <c r="O25" s="23"/>
      <c r="P25" s="23"/>
      <c r="Q25" s="23"/>
      <c r="R25" s="23"/>
      <c r="S25" s="23"/>
      <c r="T25" s="23"/>
      <c r="U25" s="23"/>
      <c r="V25" s="23"/>
      <c r="W25" s="23"/>
      <c r="X25" s="23"/>
      <c r="Y25" s="23"/>
      <c r="Z25" s="23"/>
      <c r="AA25" s="23"/>
      <c r="AB25" s="23"/>
      <c r="AC25" s="23"/>
      <c r="AD25" s="23"/>
      <c r="AE25" s="23"/>
      <c r="AF25" s="23"/>
      <c r="AG25" s="23"/>
    </row>
    <row r="26" spans="1:33" x14ac:dyDescent="0.25">
      <c r="A26" s="32">
        <v>23</v>
      </c>
      <c r="B26" s="39"/>
      <c r="C26" s="39"/>
      <c r="D26" s="39"/>
      <c r="E26" s="39"/>
      <c r="F26" s="39"/>
      <c r="G26" s="39"/>
      <c r="H26" s="39"/>
      <c r="I26" s="40"/>
      <c r="J26" s="39"/>
      <c r="K26" s="23"/>
      <c r="L26" s="23"/>
      <c r="M26" s="23"/>
      <c r="N26" s="23"/>
      <c r="O26" s="23"/>
      <c r="P26" s="23"/>
      <c r="Q26" s="23"/>
      <c r="R26" s="23"/>
      <c r="S26" s="23"/>
      <c r="T26" s="23"/>
      <c r="U26" s="23"/>
      <c r="V26" s="23"/>
      <c r="W26" s="23"/>
      <c r="X26" s="23"/>
      <c r="Y26" s="23"/>
      <c r="Z26" s="23"/>
      <c r="AA26" s="23"/>
      <c r="AB26" s="23"/>
      <c r="AC26" s="23"/>
      <c r="AD26" s="23"/>
      <c r="AE26" s="23"/>
      <c r="AF26" s="23"/>
      <c r="AG26" s="23"/>
    </row>
    <row r="27" spans="1:33" x14ac:dyDescent="0.25">
      <c r="A27" s="32">
        <v>24</v>
      </c>
      <c r="B27" s="39"/>
      <c r="C27" s="39"/>
      <c r="D27" s="39"/>
      <c r="E27" s="39"/>
      <c r="F27" s="39"/>
      <c r="G27" s="39"/>
      <c r="H27" s="39"/>
      <c r="I27" s="40"/>
      <c r="J27" s="39"/>
      <c r="K27" s="23"/>
      <c r="L27" s="23"/>
      <c r="M27" s="23"/>
      <c r="N27" s="23"/>
      <c r="O27" s="23"/>
      <c r="P27" s="23"/>
      <c r="Q27" s="23"/>
      <c r="R27" s="23"/>
      <c r="S27" s="23"/>
      <c r="T27" s="23"/>
      <c r="U27" s="23"/>
      <c r="V27" s="23"/>
      <c r="W27" s="23"/>
      <c r="X27" s="23"/>
      <c r="Y27" s="23"/>
      <c r="Z27" s="23"/>
      <c r="AA27" s="23"/>
      <c r="AB27" s="23"/>
      <c r="AC27" s="23"/>
      <c r="AD27" s="23"/>
      <c r="AE27" s="23"/>
      <c r="AF27" s="23"/>
      <c r="AG27" s="23"/>
    </row>
    <row r="28" spans="1:33" x14ac:dyDescent="0.25">
      <c r="A28" s="32">
        <v>25</v>
      </c>
      <c r="B28" s="39"/>
      <c r="C28" s="39"/>
      <c r="D28" s="39"/>
      <c r="E28" s="39"/>
      <c r="F28" s="39"/>
      <c r="G28" s="39"/>
      <c r="H28" s="39"/>
      <c r="I28" s="40"/>
      <c r="J28" s="39"/>
      <c r="K28" s="23"/>
      <c r="L28" s="23"/>
      <c r="M28" s="23"/>
      <c r="N28" s="23"/>
      <c r="O28" s="23"/>
      <c r="P28" s="23"/>
      <c r="Q28" s="23"/>
      <c r="R28" s="23"/>
      <c r="S28" s="23"/>
      <c r="T28" s="23"/>
      <c r="U28" s="23"/>
      <c r="V28" s="23"/>
      <c r="W28" s="23"/>
      <c r="X28" s="23"/>
      <c r="Y28" s="23"/>
      <c r="Z28" s="23"/>
      <c r="AA28" s="23"/>
      <c r="AB28" s="23"/>
      <c r="AC28" s="23"/>
      <c r="AD28" s="23"/>
      <c r="AE28" s="23"/>
      <c r="AF28" s="23"/>
      <c r="AG28" s="23"/>
    </row>
  </sheetData>
  <mergeCells count="2">
    <mergeCell ref="L4:AE4"/>
    <mergeCell ref="L16:AE16"/>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G28"/>
  <sheetViews>
    <sheetView showGridLines="0" workbookViewId="0">
      <selection activeCell="Q1" sqref="Q1"/>
    </sheetView>
  </sheetViews>
  <sheetFormatPr defaultRowHeight="15.75" x14ac:dyDescent="0.25"/>
  <cols>
    <col min="1" max="1" width="7.875" bestFit="1" customWidth="1"/>
    <col min="2" max="3" width="10" bestFit="1" customWidth="1"/>
    <col min="4" max="4" width="19" bestFit="1" customWidth="1"/>
    <col min="5" max="5" width="8.375" bestFit="1" customWidth="1"/>
    <col min="6" max="6" width="5.375" bestFit="1" customWidth="1"/>
    <col min="7" max="7" width="5.875" bestFit="1" customWidth="1"/>
    <col min="8" max="8" width="11.875" bestFit="1" customWidth="1"/>
    <col min="9" max="9" width="11.875" customWidth="1"/>
    <col min="10" max="10" width="12.125" bestFit="1" customWidth="1"/>
    <col min="11" max="11" width="3.75" customWidth="1"/>
    <col min="12" max="31" width="3.625" customWidth="1"/>
    <col min="32" max="32" width="3" customWidth="1"/>
  </cols>
  <sheetData>
    <row r="1" spans="1:33" x14ac:dyDescent="0.25">
      <c r="A1" s="87"/>
      <c r="B1" s="87"/>
      <c r="C1" s="87"/>
      <c r="D1" s="87"/>
      <c r="E1" s="87"/>
      <c r="F1" s="87"/>
      <c r="G1" s="87"/>
      <c r="H1" s="87"/>
      <c r="I1" s="87"/>
      <c r="J1" s="87"/>
      <c r="K1" s="87"/>
      <c r="L1" s="87"/>
      <c r="M1" s="87"/>
      <c r="N1" s="87"/>
      <c r="O1" s="87"/>
      <c r="P1" s="87"/>
      <c r="Q1" s="87"/>
      <c r="R1" s="87"/>
      <c r="S1" s="88">
        <f t="shared" ref="S1:AB1" si="0">VLOOKUP(MAX($A$3:$A$147),$A$3:$H$147,2)</f>
        <v>0</v>
      </c>
      <c r="T1" s="88">
        <f t="shared" si="0"/>
        <v>0</v>
      </c>
      <c r="U1" s="88">
        <f t="shared" si="0"/>
        <v>0</v>
      </c>
      <c r="V1" s="88">
        <f t="shared" si="0"/>
        <v>0</v>
      </c>
      <c r="W1" s="88">
        <f t="shared" si="0"/>
        <v>0</v>
      </c>
      <c r="X1" s="88">
        <f t="shared" si="0"/>
        <v>0</v>
      </c>
      <c r="Y1" s="88">
        <f t="shared" si="0"/>
        <v>0</v>
      </c>
      <c r="Z1" s="88">
        <f t="shared" si="0"/>
        <v>0</v>
      </c>
      <c r="AA1" s="88">
        <f t="shared" si="0"/>
        <v>0</v>
      </c>
      <c r="AB1" s="88">
        <f t="shared" si="0"/>
        <v>0</v>
      </c>
      <c r="AC1" s="89"/>
      <c r="AD1" s="89"/>
      <c r="AE1" s="89"/>
      <c r="AF1" s="89"/>
      <c r="AG1" s="89"/>
    </row>
    <row r="2" spans="1:33" ht="16.5" thickBot="1" x14ac:dyDescent="0.3">
      <c r="A2" s="73"/>
      <c r="B2" s="90"/>
      <c r="C2" s="90"/>
      <c r="D2" s="90"/>
      <c r="E2" s="90"/>
      <c r="F2" s="90"/>
      <c r="G2" s="90"/>
      <c r="H2" s="90"/>
      <c r="I2" s="91"/>
      <c r="J2" s="90"/>
      <c r="K2" s="23"/>
      <c r="L2" s="23"/>
      <c r="M2" s="23"/>
      <c r="N2" s="23"/>
      <c r="O2" s="23"/>
      <c r="P2" s="23"/>
      <c r="Q2" s="23"/>
      <c r="R2" s="23"/>
      <c r="S2" s="23"/>
      <c r="T2" s="23"/>
      <c r="U2" s="23"/>
      <c r="V2" s="23"/>
      <c r="W2" s="23"/>
      <c r="X2" s="23"/>
      <c r="Y2" s="23"/>
      <c r="Z2" s="23"/>
      <c r="AA2" s="23"/>
      <c r="AB2" s="23"/>
      <c r="AC2" s="23"/>
      <c r="AD2" s="23"/>
      <c r="AE2" s="23"/>
      <c r="AF2" s="23"/>
      <c r="AG2" s="23"/>
    </row>
    <row r="3" spans="1:33" x14ac:dyDescent="0.25">
      <c r="A3" s="92" t="s">
        <v>38</v>
      </c>
      <c r="B3" s="93" t="s">
        <v>39</v>
      </c>
      <c r="C3" s="93" t="s">
        <v>40</v>
      </c>
      <c r="D3" s="93" t="s">
        <v>41</v>
      </c>
      <c r="E3" s="92" t="s">
        <v>42</v>
      </c>
      <c r="F3" s="92" t="s">
        <v>43</v>
      </c>
      <c r="G3" s="92" t="s">
        <v>44</v>
      </c>
      <c r="H3" s="92" t="s">
        <v>45</v>
      </c>
      <c r="I3" s="92" t="s">
        <v>46</v>
      </c>
      <c r="J3" s="92" t="s">
        <v>47</v>
      </c>
      <c r="K3" s="23"/>
      <c r="L3" s="94"/>
      <c r="M3" s="95"/>
      <c r="N3" s="95"/>
      <c r="O3" s="95"/>
      <c r="P3" s="95"/>
      <c r="Q3" s="95"/>
      <c r="R3" s="95"/>
      <c r="S3" s="95"/>
      <c r="T3" s="95"/>
      <c r="U3" s="95"/>
      <c r="V3" s="95"/>
      <c r="W3" s="95"/>
      <c r="X3" s="95"/>
      <c r="Y3" s="95"/>
      <c r="Z3" s="95"/>
      <c r="AA3" s="95"/>
      <c r="AB3" s="95"/>
      <c r="AC3" s="95"/>
      <c r="AD3" s="95"/>
      <c r="AE3" s="96"/>
      <c r="AF3" s="23"/>
      <c r="AG3" s="23"/>
    </row>
    <row r="4" spans="1:33" x14ac:dyDescent="0.25">
      <c r="A4" s="97">
        <v>1</v>
      </c>
      <c r="B4" s="98" t="s">
        <v>48</v>
      </c>
      <c r="C4" s="99" t="s">
        <v>49</v>
      </c>
      <c r="D4" s="99" t="s">
        <v>50</v>
      </c>
      <c r="E4" s="99" t="s">
        <v>51</v>
      </c>
      <c r="F4" s="100" t="s">
        <v>52</v>
      </c>
      <c r="G4" s="100">
        <v>30062</v>
      </c>
      <c r="H4" s="98" t="s">
        <v>53</v>
      </c>
      <c r="I4" s="101" t="s">
        <v>54</v>
      </c>
      <c r="J4" s="102">
        <v>157665</v>
      </c>
      <c r="K4" s="23"/>
      <c r="L4" s="321" t="s">
        <v>55</v>
      </c>
      <c r="M4" s="322"/>
      <c r="N4" s="322"/>
      <c r="O4" s="322"/>
      <c r="P4" s="322"/>
      <c r="Q4" s="322"/>
      <c r="R4" s="322"/>
      <c r="S4" s="322"/>
      <c r="T4" s="322"/>
      <c r="U4" s="322"/>
      <c r="V4" s="322"/>
      <c r="W4" s="322"/>
      <c r="X4" s="322"/>
      <c r="Y4" s="322"/>
      <c r="Z4" s="322"/>
      <c r="AA4" s="322"/>
      <c r="AB4" s="322"/>
      <c r="AC4" s="322"/>
      <c r="AD4" s="322"/>
      <c r="AE4" s="323"/>
      <c r="AF4" s="23"/>
      <c r="AG4" s="23"/>
    </row>
    <row r="5" spans="1:33" x14ac:dyDescent="0.25">
      <c r="A5" s="97">
        <v>2</v>
      </c>
      <c r="B5" s="103" t="s">
        <v>56</v>
      </c>
      <c r="C5" s="103" t="s">
        <v>57</v>
      </c>
      <c r="D5" s="103" t="s">
        <v>58</v>
      </c>
      <c r="E5" s="103" t="s">
        <v>51</v>
      </c>
      <c r="F5" s="104" t="s">
        <v>52</v>
      </c>
      <c r="G5" s="104">
        <v>30063</v>
      </c>
      <c r="H5" s="105" t="s">
        <v>59</v>
      </c>
      <c r="I5" s="106" t="s">
        <v>60</v>
      </c>
      <c r="J5" s="107">
        <v>156340</v>
      </c>
      <c r="K5" s="23"/>
      <c r="L5" s="108"/>
      <c r="M5" s="109"/>
      <c r="N5" s="109"/>
      <c r="O5" s="109"/>
      <c r="P5" s="109"/>
      <c r="Q5" s="109"/>
      <c r="R5" s="109"/>
      <c r="S5" s="109"/>
      <c r="T5" s="109"/>
      <c r="U5" s="109"/>
      <c r="V5" s="109"/>
      <c r="W5" s="109"/>
      <c r="X5" s="109"/>
      <c r="Y5" s="109"/>
      <c r="Z5" s="109"/>
      <c r="AA5" s="109"/>
      <c r="AB5" s="109"/>
      <c r="AC5" s="109"/>
      <c r="AD5" s="109"/>
      <c r="AE5" s="110"/>
      <c r="AF5" s="23"/>
      <c r="AG5" s="23"/>
    </row>
    <row r="6" spans="1:33" x14ac:dyDescent="0.25">
      <c r="A6" s="97">
        <v>3</v>
      </c>
      <c r="B6" s="103" t="s">
        <v>61</v>
      </c>
      <c r="C6" s="105" t="s">
        <v>62</v>
      </c>
      <c r="D6" s="103" t="s">
        <v>63</v>
      </c>
      <c r="E6" s="103" t="s">
        <v>51</v>
      </c>
      <c r="F6" s="104" t="s">
        <v>52</v>
      </c>
      <c r="G6" s="104">
        <v>30064</v>
      </c>
      <c r="H6" s="105" t="s">
        <v>64</v>
      </c>
      <c r="I6" s="106" t="s">
        <v>65</v>
      </c>
      <c r="J6" s="107">
        <v>81480</v>
      </c>
      <c r="K6" s="23"/>
      <c r="L6" s="108"/>
      <c r="M6" s="111" t="s">
        <v>39</v>
      </c>
      <c r="N6" s="109"/>
      <c r="O6" s="109"/>
      <c r="P6" s="112" t="str">
        <f>INDEX($B$4:$J$65536,COUNTA($B$4:$B$65536),1)</f>
        <v>Collins</v>
      </c>
      <c r="Q6" s="113"/>
      <c r="R6" s="113"/>
      <c r="S6" s="113"/>
      <c r="T6" s="113"/>
      <c r="U6" s="114"/>
      <c r="V6" s="109"/>
      <c r="W6" s="115" t="s">
        <v>42</v>
      </c>
      <c r="X6" s="109"/>
      <c r="Y6" s="116" t="str">
        <f>INDEX($B$4:$J$65536,COUNTA($B$4:$B$65536),4)</f>
        <v>Norcross</v>
      </c>
      <c r="Z6" s="113"/>
      <c r="AA6" s="113"/>
      <c r="AB6" s="113"/>
      <c r="AC6" s="113"/>
      <c r="AD6" s="114"/>
      <c r="AE6" s="110"/>
      <c r="AF6" s="23"/>
      <c r="AG6" s="23"/>
    </row>
    <row r="7" spans="1:33" x14ac:dyDescent="0.25">
      <c r="A7" s="97">
        <v>4</v>
      </c>
      <c r="B7" s="103" t="s">
        <v>66</v>
      </c>
      <c r="C7" s="105" t="s">
        <v>67</v>
      </c>
      <c r="D7" s="103" t="s">
        <v>68</v>
      </c>
      <c r="E7" s="103" t="s">
        <v>51</v>
      </c>
      <c r="F7" s="104" t="s">
        <v>52</v>
      </c>
      <c r="G7" s="104">
        <v>30065</v>
      </c>
      <c r="H7" s="105" t="s">
        <v>69</v>
      </c>
      <c r="I7" s="106" t="s">
        <v>54</v>
      </c>
      <c r="J7" s="107">
        <v>202578</v>
      </c>
      <c r="K7" s="23"/>
      <c r="L7" s="108"/>
      <c r="M7" s="109"/>
      <c r="N7" s="109"/>
      <c r="O7" s="109"/>
      <c r="P7" s="109"/>
      <c r="Q7" s="109"/>
      <c r="R7" s="109"/>
      <c r="S7" s="109"/>
      <c r="T7" s="109"/>
      <c r="U7" s="109"/>
      <c r="V7" s="109"/>
      <c r="W7" s="109"/>
      <c r="X7" s="109"/>
      <c r="Y7" s="109"/>
      <c r="Z7" s="109"/>
      <c r="AA7" s="109"/>
      <c r="AB7" s="109"/>
      <c r="AC7" s="109"/>
      <c r="AD7" s="109"/>
      <c r="AE7" s="110"/>
      <c r="AF7" s="23"/>
      <c r="AG7" s="23"/>
    </row>
    <row r="8" spans="1:33" x14ac:dyDescent="0.25">
      <c r="A8" s="97">
        <v>5</v>
      </c>
      <c r="B8" s="105" t="s">
        <v>70</v>
      </c>
      <c r="C8" s="103" t="s">
        <v>71</v>
      </c>
      <c r="D8" s="103" t="s">
        <v>72</v>
      </c>
      <c r="E8" s="103" t="s">
        <v>51</v>
      </c>
      <c r="F8" s="104" t="s">
        <v>52</v>
      </c>
      <c r="G8" s="104">
        <v>30066</v>
      </c>
      <c r="H8" s="105" t="s">
        <v>73</v>
      </c>
      <c r="I8" s="106" t="s">
        <v>60</v>
      </c>
      <c r="J8" s="107">
        <v>177209</v>
      </c>
      <c r="K8" s="23"/>
      <c r="L8" s="108"/>
      <c r="M8" s="111" t="s">
        <v>40</v>
      </c>
      <c r="N8" s="109"/>
      <c r="O8" s="109"/>
      <c r="P8" s="116" t="str">
        <f>INDEX($B$4:$J$65536,COUNTA($B$4:$B$65536),2)</f>
        <v>Carlton</v>
      </c>
      <c r="Q8" s="113"/>
      <c r="R8" s="113"/>
      <c r="S8" s="113"/>
      <c r="T8" s="113"/>
      <c r="U8" s="114"/>
      <c r="V8" s="109"/>
      <c r="W8" s="115" t="s">
        <v>43</v>
      </c>
      <c r="X8" s="109"/>
      <c r="Y8" s="116" t="str">
        <f>INDEX($B$4:$J$65536,COUNTA($B$4:$B$65536),5)</f>
        <v xml:space="preserve">GA </v>
      </c>
      <c r="Z8" s="113"/>
      <c r="AA8" s="113"/>
      <c r="AB8" s="113"/>
      <c r="AC8" s="113"/>
      <c r="AD8" s="114"/>
      <c r="AE8" s="110"/>
      <c r="AF8" s="23"/>
      <c r="AG8" s="23"/>
    </row>
    <row r="9" spans="1:33" x14ac:dyDescent="0.25">
      <c r="A9" s="97">
        <v>6</v>
      </c>
      <c r="B9" s="103" t="s">
        <v>74</v>
      </c>
      <c r="C9" s="103" t="s">
        <v>75</v>
      </c>
      <c r="D9" s="103" t="s">
        <v>76</v>
      </c>
      <c r="E9" s="103" t="s">
        <v>77</v>
      </c>
      <c r="F9" s="104" t="s">
        <v>52</v>
      </c>
      <c r="G9" s="104">
        <v>30092</v>
      </c>
      <c r="H9" s="105" t="s">
        <v>78</v>
      </c>
      <c r="I9" s="106" t="s">
        <v>65</v>
      </c>
      <c r="J9" s="107">
        <v>212254.23</v>
      </c>
      <c r="K9" s="23"/>
      <c r="L9" s="108"/>
      <c r="M9" s="109"/>
      <c r="N9" s="109"/>
      <c r="O9" s="109"/>
      <c r="P9" s="109"/>
      <c r="Q9" s="109"/>
      <c r="R9" s="109"/>
      <c r="S9" s="109"/>
      <c r="T9" s="109"/>
      <c r="U9" s="109"/>
      <c r="V9" s="109"/>
      <c r="W9" s="109"/>
      <c r="X9" s="109"/>
      <c r="Y9" s="109"/>
      <c r="Z9" s="109"/>
      <c r="AA9" s="109"/>
      <c r="AB9" s="109"/>
      <c r="AC9" s="109"/>
      <c r="AD9" s="109"/>
      <c r="AE9" s="110"/>
      <c r="AF9" s="23"/>
      <c r="AG9" s="23"/>
    </row>
    <row r="10" spans="1:33" x14ac:dyDescent="0.25">
      <c r="A10" s="97">
        <v>7</v>
      </c>
      <c r="B10" s="103" t="s">
        <v>79</v>
      </c>
      <c r="C10" s="103" t="s">
        <v>80</v>
      </c>
      <c r="D10" s="103" t="s">
        <v>50</v>
      </c>
      <c r="E10" s="103" t="s">
        <v>81</v>
      </c>
      <c r="F10" s="104" t="s">
        <v>82</v>
      </c>
      <c r="G10" s="104">
        <v>30092</v>
      </c>
      <c r="H10" s="105" t="s">
        <v>53</v>
      </c>
      <c r="I10" s="106" t="s">
        <v>54</v>
      </c>
      <c r="J10" s="107">
        <v>124533.45</v>
      </c>
      <c r="K10" s="23"/>
      <c r="L10" s="108"/>
      <c r="M10" s="111" t="s">
        <v>41</v>
      </c>
      <c r="N10" s="109"/>
      <c r="O10" s="109"/>
      <c r="P10" s="116" t="str">
        <f>INDEX($B$4:$J$65536,COUNTA($B$4:$B$65536),3)</f>
        <v>100 Peachtree Street</v>
      </c>
      <c r="Q10" s="113"/>
      <c r="R10" s="113"/>
      <c r="S10" s="113"/>
      <c r="T10" s="113"/>
      <c r="U10" s="114"/>
      <c r="V10" s="109"/>
      <c r="W10" s="115" t="s">
        <v>44</v>
      </c>
      <c r="X10" s="109"/>
      <c r="Y10" s="116" t="str">
        <f>TEXT(INDEX($B$4:$J$65536,COUNTA($B$4:$B$65536),6),0)</f>
        <v>30092</v>
      </c>
      <c r="Z10" s="113"/>
      <c r="AA10" s="113"/>
      <c r="AB10" s="113"/>
      <c r="AC10" s="113"/>
      <c r="AD10" s="114"/>
      <c r="AE10" s="110"/>
      <c r="AF10" s="23"/>
      <c r="AG10" s="23"/>
    </row>
    <row r="11" spans="1:33" x14ac:dyDescent="0.25">
      <c r="A11" s="97">
        <v>8</v>
      </c>
      <c r="B11" s="103"/>
      <c r="C11" s="103"/>
      <c r="D11" s="103"/>
      <c r="E11" s="103"/>
      <c r="F11" s="103"/>
      <c r="G11" s="103"/>
      <c r="H11" s="103"/>
      <c r="I11" s="104"/>
      <c r="J11" s="103"/>
      <c r="K11" s="23"/>
      <c r="L11" s="108"/>
      <c r="M11" s="109"/>
      <c r="N11" s="109"/>
      <c r="O11" s="109"/>
      <c r="P11" s="109"/>
      <c r="Q11" s="109"/>
      <c r="R11" s="109"/>
      <c r="S11" s="109"/>
      <c r="T11" s="109"/>
      <c r="U11" s="109"/>
      <c r="V11" s="109"/>
      <c r="W11" s="109"/>
      <c r="X11" s="109"/>
      <c r="Y11" s="109"/>
      <c r="Z11" s="109"/>
      <c r="AA11" s="109"/>
      <c r="AB11" s="109"/>
      <c r="AC11" s="109"/>
      <c r="AD11" s="109"/>
      <c r="AE11" s="110"/>
      <c r="AF11" s="23"/>
      <c r="AG11" s="23"/>
    </row>
    <row r="12" spans="1:33" x14ac:dyDescent="0.25">
      <c r="A12" s="97">
        <v>9</v>
      </c>
      <c r="B12" s="103"/>
      <c r="C12" s="103"/>
      <c r="D12" s="103"/>
      <c r="E12" s="103"/>
      <c r="F12" s="103"/>
      <c r="G12" s="103"/>
      <c r="H12" s="103"/>
      <c r="I12" s="104"/>
      <c r="J12" s="103"/>
      <c r="K12" s="23"/>
      <c r="L12" s="108"/>
      <c r="M12" s="115" t="s">
        <v>45</v>
      </c>
      <c r="N12" s="109"/>
      <c r="O12" s="109"/>
      <c r="P12" s="116" t="str">
        <f>INDEX($B$4:$J$65536,COUNTA($B$4:$B$65536),7)</f>
        <v>770.842.5902</v>
      </c>
      <c r="Q12" s="113"/>
      <c r="R12" s="113"/>
      <c r="S12" s="113"/>
      <c r="T12" s="113"/>
      <c r="U12" s="114"/>
      <c r="V12" s="109"/>
      <c r="W12" s="117" t="s">
        <v>99</v>
      </c>
      <c r="X12" s="109"/>
      <c r="Y12" s="116" t="str">
        <f>INDEX($B$4:$J$65536,COUNTA($B$4:$B$65536),8)</f>
        <v>Plan A</v>
      </c>
      <c r="Z12" s="113"/>
      <c r="AA12" s="113"/>
      <c r="AB12" s="113"/>
      <c r="AC12" s="113"/>
      <c r="AD12" s="114"/>
      <c r="AE12" s="110"/>
      <c r="AF12" s="23"/>
      <c r="AG12" s="23"/>
    </row>
    <row r="13" spans="1:33" x14ac:dyDescent="0.25">
      <c r="A13" s="97">
        <v>10</v>
      </c>
      <c r="B13" s="103"/>
      <c r="C13" s="103"/>
      <c r="D13" s="103"/>
      <c r="E13" s="103"/>
      <c r="F13" s="103"/>
      <c r="G13" s="103"/>
      <c r="H13" s="103"/>
      <c r="I13" s="104"/>
      <c r="J13" s="103"/>
      <c r="K13" s="23"/>
      <c r="L13" s="108"/>
      <c r="M13" s="109"/>
      <c r="N13" s="109"/>
      <c r="O13" s="109"/>
      <c r="P13" s="109"/>
      <c r="Q13" s="109"/>
      <c r="R13" s="109"/>
      <c r="S13" s="109"/>
      <c r="T13" s="109"/>
      <c r="U13" s="109"/>
      <c r="V13" s="109"/>
      <c r="W13" s="109"/>
      <c r="X13" s="109"/>
      <c r="Y13" s="109"/>
      <c r="Z13" s="109"/>
      <c r="AA13" s="109"/>
      <c r="AB13" s="109"/>
      <c r="AC13" s="109"/>
      <c r="AD13" s="109"/>
      <c r="AE13" s="110"/>
      <c r="AF13" s="23"/>
      <c r="AG13" s="23"/>
    </row>
    <row r="14" spans="1:33" x14ac:dyDescent="0.25">
      <c r="A14" s="97">
        <v>11</v>
      </c>
      <c r="B14" s="103"/>
      <c r="C14" s="103"/>
      <c r="D14" s="103"/>
      <c r="E14" s="103"/>
      <c r="F14" s="103"/>
      <c r="G14" s="103"/>
      <c r="H14" s="103"/>
      <c r="I14" s="104"/>
      <c r="J14" s="103"/>
      <c r="K14" s="23"/>
      <c r="L14" s="108"/>
      <c r="M14" s="115" t="s">
        <v>90</v>
      </c>
      <c r="N14" s="109"/>
      <c r="O14" s="109"/>
      <c r="P14" s="109"/>
      <c r="Q14" s="109"/>
      <c r="R14" s="109"/>
      <c r="S14" s="109"/>
      <c r="T14" s="109"/>
      <c r="U14" s="109"/>
      <c r="V14" s="109"/>
      <c r="W14" s="109"/>
      <c r="X14" s="109"/>
      <c r="Y14" s="112" t="str">
        <f>TEXT(INDEX($B$4:$J$65536,COUNTA($B$4:$B$65536),9),"$#,###.##")</f>
        <v>$124,533.45</v>
      </c>
      <c r="Z14" s="113"/>
      <c r="AA14" s="113"/>
      <c r="AB14" s="113"/>
      <c r="AC14" s="113"/>
      <c r="AD14" s="114"/>
      <c r="AE14" s="110"/>
      <c r="AF14" s="23"/>
      <c r="AG14" s="23"/>
    </row>
    <row r="15" spans="1:33" x14ac:dyDescent="0.25">
      <c r="A15" s="97">
        <v>12</v>
      </c>
      <c r="B15" s="103"/>
      <c r="C15" s="103"/>
      <c r="D15" s="103"/>
      <c r="E15" s="103"/>
      <c r="F15" s="103"/>
      <c r="G15" s="103"/>
      <c r="H15" s="103"/>
      <c r="I15" s="104"/>
      <c r="J15" s="103"/>
      <c r="K15" s="23"/>
      <c r="L15" s="108"/>
      <c r="M15" s="109"/>
      <c r="N15" s="109"/>
      <c r="O15" s="109"/>
      <c r="P15" s="109"/>
      <c r="Q15" s="109"/>
      <c r="R15" s="109"/>
      <c r="S15" s="109"/>
      <c r="T15" s="109"/>
      <c r="U15" s="109"/>
      <c r="V15" s="109"/>
      <c r="W15" s="109"/>
      <c r="X15" s="109"/>
      <c r="Y15" s="109"/>
      <c r="Z15" s="109"/>
      <c r="AA15" s="109"/>
      <c r="AB15" s="109"/>
      <c r="AC15" s="109"/>
      <c r="AD15" s="109"/>
      <c r="AE15" s="110"/>
      <c r="AF15" s="23"/>
      <c r="AG15" s="23"/>
    </row>
    <row r="16" spans="1:33" x14ac:dyDescent="0.25">
      <c r="A16" s="97">
        <v>13</v>
      </c>
      <c r="B16" s="103"/>
      <c r="C16" s="103"/>
      <c r="D16" s="103"/>
      <c r="E16" s="103"/>
      <c r="F16" s="103"/>
      <c r="G16" s="103"/>
      <c r="H16" s="103"/>
      <c r="I16" s="104"/>
      <c r="J16" s="103"/>
      <c r="K16" s="23"/>
      <c r="L16" s="324" t="s">
        <v>91</v>
      </c>
      <c r="M16" s="325"/>
      <c r="N16" s="325"/>
      <c r="O16" s="325"/>
      <c r="P16" s="325"/>
      <c r="Q16" s="325"/>
      <c r="R16" s="325"/>
      <c r="S16" s="325"/>
      <c r="T16" s="325"/>
      <c r="U16" s="325"/>
      <c r="V16" s="325"/>
      <c r="W16" s="325"/>
      <c r="X16" s="325"/>
      <c r="Y16" s="325"/>
      <c r="Z16" s="325"/>
      <c r="AA16" s="325"/>
      <c r="AB16" s="325"/>
      <c r="AC16" s="325"/>
      <c r="AD16" s="325"/>
      <c r="AE16" s="326"/>
      <c r="AF16" s="23"/>
      <c r="AG16" s="23"/>
    </row>
    <row r="17" spans="1:33" ht="16.5" thickBot="1" x14ac:dyDescent="0.3">
      <c r="A17" s="97">
        <v>14</v>
      </c>
      <c r="B17" s="103"/>
      <c r="C17" s="103"/>
      <c r="D17" s="103"/>
      <c r="E17" s="103"/>
      <c r="F17" s="103"/>
      <c r="G17" s="103"/>
      <c r="H17" s="103"/>
      <c r="I17" s="104"/>
      <c r="J17" s="103"/>
      <c r="K17" s="23"/>
      <c r="L17" s="118"/>
      <c r="M17" s="119"/>
      <c r="N17" s="119"/>
      <c r="O17" s="119"/>
      <c r="P17" s="119"/>
      <c r="Q17" s="119"/>
      <c r="R17" s="119"/>
      <c r="S17" s="119"/>
      <c r="T17" s="119"/>
      <c r="U17" s="119"/>
      <c r="V17" s="119"/>
      <c r="W17" s="119"/>
      <c r="X17" s="119"/>
      <c r="Y17" s="119"/>
      <c r="Z17" s="119"/>
      <c r="AA17" s="119"/>
      <c r="AB17" s="119"/>
      <c r="AC17" s="119"/>
      <c r="AD17" s="119"/>
      <c r="AE17" s="120"/>
      <c r="AF17" s="23"/>
      <c r="AG17" s="23"/>
    </row>
    <row r="18" spans="1:33" x14ac:dyDescent="0.25">
      <c r="A18" s="97">
        <v>15</v>
      </c>
      <c r="B18" s="103"/>
      <c r="C18" s="103"/>
      <c r="D18" s="103"/>
      <c r="E18" s="103"/>
      <c r="F18" s="103"/>
      <c r="G18" s="103"/>
      <c r="H18" s="103"/>
      <c r="I18" s="104"/>
      <c r="J18" s="103"/>
      <c r="K18" s="23"/>
      <c r="L18" s="23"/>
      <c r="M18" s="23"/>
      <c r="N18" s="23"/>
      <c r="O18" s="23"/>
      <c r="P18" s="23"/>
      <c r="Q18" s="23"/>
      <c r="R18" s="23"/>
      <c r="S18" s="23"/>
      <c r="T18" s="23"/>
      <c r="U18" s="23"/>
      <c r="V18" s="23"/>
      <c r="W18" s="23"/>
      <c r="X18" s="23"/>
      <c r="Y18" s="23"/>
      <c r="Z18" s="23"/>
      <c r="AA18" s="23"/>
      <c r="AB18" s="23"/>
      <c r="AC18" s="23"/>
      <c r="AD18" s="23"/>
      <c r="AE18" s="23"/>
      <c r="AF18" s="23"/>
      <c r="AG18" s="23"/>
    </row>
    <row r="19" spans="1:33" x14ac:dyDescent="0.25">
      <c r="A19" s="97">
        <v>16</v>
      </c>
      <c r="B19" s="103"/>
      <c r="C19" s="103"/>
      <c r="D19" s="103"/>
      <c r="E19" s="103"/>
      <c r="F19" s="103"/>
      <c r="G19" s="103"/>
      <c r="H19" s="103"/>
      <c r="I19" s="104"/>
      <c r="J19" s="103"/>
      <c r="K19" s="23"/>
      <c r="L19" s="23"/>
      <c r="M19" s="23"/>
      <c r="N19" s="23"/>
      <c r="O19" s="23"/>
      <c r="P19" s="23"/>
      <c r="Q19" s="23"/>
      <c r="R19" s="23"/>
      <c r="S19" s="23"/>
      <c r="T19" s="23"/>
      <c r="U19" s="23"/>
      <c r="V19" s="23"/>
      <c r="W19" s="23"/>
      <c r="X19" s="23"/>
      <c r="Y19" s="23"/>
      <c r="Z19" s="23"/>
      <c r="AA19" s="23"/>
      <c r="AB19" s="23"/>
      <c r="AC19" s="23"/>
      <c r="AD19" s="23"/>
      <c r="AE19" s="23"/>
      <c r="AF19" s="23"/>
      <c r="AG19" s="23"/>
    </row>
    <row r="20" spans="1:33" x14ac:dyDescent="0.25">
      <c r="A20" s="97">
        <v>17</v>
      </c>
      <c r="B20" s="103"/>
      <c r="C20" s="103"/>
      <c r="D20" s="103"/>
      <c r="E20" s="103"/>
      <c r="F20" s="103"/>
      <c r="G20" s="103"/>
      <c r="H20" s="103"/>
      <c r="I20" s="104"/>
      <c r="J20" s="103"/>
      <c r="K20" s="23"/>
      <c r="L20" s="23"/>
      <c r="M20" s="23"/>
      <c r="N20" s="23"/>
      <c r="O20" s="23"/>
      <c r="P20" s="23"/>
      <c r="Q20" s="23"/>
      <c r="R20" s="23"/>
      <c r="S20" s="23"/>
      <c r="T20" s="23"/>
      <c r="U20" s="23"/>
      <c r="V20" s="23"/>
      <c r="W20" s="23"/>
      <c r="X20" s="23"/>
      <c r="Y20" s="23"/>
      <c r="Z20" s="23"/>
      <c r="AA20" s="23"/>
      <c r="AB20" s="23"/>
      <c r="AC20" s="23"/>
      <c r="AD20" s="23"/>
      <c r="AE20" s="23"/>
      <c r="AF20" s="23"/>
      <c r="AG20" s="23"/>
    </row>
    <row r="21" spans="1:33" x14ac:dyDescent="0.25">
      <c r="A21" s="97">
        <v>18</v>
      </c>
      <c r="B21" s="103"/>
      <c r="C21" s="103"/>
      <c r="D21" s="103"/>
      <c r="E21" s="103"/>
      <c r="F21" s="103"/>
      <c r="G21" s="103"/>
      <c r="H21" s="103"/>
      <c r="I21" s="104"/>
      <c r="J21" s="103"/>
      <c r="K21" s="23"/>
      <c r="L21" s="23"/>
      <c r="M21" s="23"/>
      <c r="N21" s="23"/>
      <c r="O21" s="23"/>
      <c r="P21" s="23"/>
      <c r="Q21" s="23"/>
      <c r="R21" s="23"/>
      <c r="S21" s="23"/>
      <c r="T21" s="23"/>
      <c r="U21" s="23"/>
      <c r="V21" s="23"/>
      <c r="W21" s="23"/>
      <c r="X21" s="23"/>
      <c r="Y21" s="23"/>
      <c r="Z21" s="23"/>
      <c r="AA21" s="23"/>
      <c r="AB21" s="23"/>
      <c r="AC21" s="23"/>
      <c r="AD21" s="23"/>
      <c r="AE21" s="23"/>
      <c r="AF21" s="23"/>
      <c r="AG21" s="23"/>
    </row>
    <row r="22" spans="1:33" x14ac:dyDescent="0.25">
      <c r="A22" s="97">
        <v>19</v>
      </c>
      <c r="B22" s="103"/>
      <c r="C22" s="103"/>
      <c r="D22" s="103"/>
      <c r="E22" s="103"/>
      <c r="F22" s="103"/>
      <c r="G22" s="103"/>
      <c r="H22" s="103"/>
      <c r="I22" s="104"/>
      <c r="J22" s="103"/>
      <c r="K22" s="23"/>
      <c r="L22" s="23"/>
      <c r="M22" s="23"/>
      <c r="N22" s="23"/>
      <c r="O22" s="23"/>
      <c r="P22" s="23"/>
      <c r="Q22" s="23"/>
      <c r="R22" s="23"/>
      <c r="S22" s="23"/>
      <c r="T22" s="23"/>
      <c r="U22" s="23"/>
      <c r="V22" s="23"/>
      <c r="W22" s="23"/>
      <c r="X22" s="23"/>
      <c r="Y22" s="23"/>
      <c r="Z22" s="23"/>
      <c r="AA22" s="23"/>
      <c r="AB22" s="23"/>
      <c r="AC22" s="23"/>
      <c r="AD22" s="23"/>
      <c r="AE22" s="23"/>
      <c r="AF22" s="23"/>
      <c r="AG22" s="23"/>
    </row>
    <row r="23" spans="1:33" x14ac:dyDescent="0.25">
      <c r="A23" s="97">
        <v>20</v>
      </c>
      <c r="B23" s="103"/>
      <c r="C23" s="103"/>
      <c r="D23" s="103"/>
      <c r="E23" s="103"/>
      <c r="F23" s="103"/>
      <c r="G23" s="103"/>
      <c r="H23" s="103"/>
      <c r="I23" s="104"/>
      <c r="J23" s="103"/>
      <c r="K23" s="23"/>
      <c r="L23" s="23"/>
      <c r="M23" s="23"/>
      <c r="N23" s="23"/>
      <c r="O23" s="23"/>
      <c r="P23" s="23"/>
      <c r="Q23" s="23"/>
      <c r="R23" s="23"/>
      <c r="S23" s="23"/>
      <c r="T23" s="23"/>
      <c r="U23" s="23"/>
      <c r="V23" s="23"/>
      <c r="W23" s="23"/>
      <c r="X23" s="23"/>
      <c r="Y23" s="23"/>
      <c r="Z23" s="23"/>
      <c r="AA23" s="23"/>
      <c r="AB23" s="23"/>
      <c r="AC23" s="23"/>
      <c r="AD23" s="23"/>
      <c r="AE23" s="23"/>
      <c r="AF23" s="23"/>
      <c r="AG23" s="23"/>
    </row>
    <row r="24" spans="1:33" x14ac:dyDescent="0.25">
      <c r="A24" s="97">
        <v>21</v>
      </c>
      <c r="B24" s="103"/>
      <c r="C24" s="103"/>
      <c r="D24" s="103"/>
      <c r="E24" s="103"/>
      <c r="F24" s="103"/>
      <c r="G24" s="103"/>
      <c r="H24" s="103"/>
      <c r="I24" s="104"/>
      <c r="J24" s="103"/>
      <c r="K24" s="23"/>
      <c r="L24" s="23"/>
      <c r="M24" s="23"/>
      <c r="N24" s="23"/>
      <c r="O24" s="23"/>
      <c r="P24" s="23"/>
      <c r="Q24" s="23"/>
      <c r="R24" s="23"/>
      <c r="S24" s="23"/>
      <c r="T24" s="23"/>
      <c r="U24" s="23"/>
      <c r="V24" s="23"/>
      <c r="W24" s="23"/>
      <c r="X24" s="23"/>
      <c r="Y24" s="23"/>
      <c r="Z24" s="23"/>
      <c r="AA24" s="23"/>
      <c r="AB24" s="23"/>
      <c r="AC24" s="23"/>
      <c r="AD24" s="23"/>
      <c r="AE24" s="23"/>
      <c r="AF24" s="23"/>
      <c r="AG24" s="23"/>
    </row>
    <row r="25" spans="1:33" x14ac:dyDescent="0.25">
      <c r="A25" s="97">
        <v>22</v>
      </c>
      <c r="B25" s="103"/>
      <c r="C25" s="103"/>
      <c r="D25" s="103"/>
      <c r="E25" s="103"/>
      <c r="F25" s="103"/>
      <c r="G25" s="103"/>
      <c r="H25" s="103"/>
      <c r="I25" s="104"/>
      <c r="J25" s="103"/>
      <c r="K25" s="23"/>
      <c r="L25" s="23"/>
      <c r="M25" s="23"/>
      <c r="N25" s="23"/>
      <c r="O25" s="23"/>
      <c r="P25" s="23"/>
      <c r="Q25" s="23"/>
      <c r="R25" s="23"/>
      <c r="S25" s="23"/>
      <c r="T25" s="23"/>
      <c r="U25" s="23"/>
      <c r="V25" s="23"/>
      <c r="W25" s="23"/>
      <c r="X25" s="23"/>
      <c r="Y25" s="23"/>
      <c r="Z25" s="23"/>
      <c r="AA25" s="23"/>
      <c r="AB25" s="23"/>
      <c r="AC25" s="23"/>
      <c r="AD25" s="23"/>
      <c r="AE25" s="23"/>
      <c r="AF25" s="23"/>
      <c r="AG25" s="23"/>
    </row>
    <row r="26" spans="1:33" x14ac:dyDescent="0.25">
      <c r="A26" s="97">
        <v>23</v>
      </c>
      <c r="B26" s="103"/>
      <c r="C26" s="103"/>
      <c r="D26" s="103"/>
      <c r="E26" s="103"/>
      <c r="F26" s="103"/>
      <c r="G26" s="103"/>
      <c r="H26" s="103"/>
      <c r="I26" s="104"/>
      <c r="J26" s="103"/>
      <c r="K26" s="23"/>
      <c r="L26" s="23"/>
      <c r="M26" s="23"/>
      <c r="N26" s="23"/>
      <c r="O26" s="23"/>
      <c r="P26" s="23"/>
      <c r="Q26" s="23"/>
      <c r="R26" s="23"/>
      <c r="S26" s="23"/>
      <c r="T26" s="23"/>
      <c r="U26" s="23"/>
      <c r="V26" s="23"/>
      <c r="W26" s="23"/>
      <c r="X26" s="23"/>
      <c r="Y26" s="23"/>
      <c r="Z26" s="23"/>
      <c r="AA26" s="23"/>
      <c r="AB26" s="23"/>
      <c r="AC26" s="23"/>
      <c r="AD26" s="23"/>
      <c r="AE26" s="23"/>
      <c r="AF26" s="23"/>
      <c r="AG26" s="23"/>
    </row>
    <row r="27" spans="1:33" x14ac:dyDescent="0.25">
      <c r="A27" s="97">
        <v>24</v>
      </c>
      <c r="B27" s="103"/>
      <c r="C27" s="103"/>
      <c r="D27" s="103"/>
      <c r="E27" s="103"/>
      <c r="F27" s="103"/>
      <c r="G27" s="103"/>
      <c r="H27" s="103"/>
      <c r="I27" s="104"/>
      <c r="J27" s="103"/>
      <c r="K27" s="23"/>
      <c r="L27" s="23"/>
      <c r="M27" s="23"/>
      <c r="N27" s="23"/>
      <c r="O27" s="23"/>
      <c r="P27" s="23"/>
      <c r="Q27" s="23"/>
      <c r="R27" s="23"/>
      <c r="S27" s="23"/>
      <c r="T27" s="23"/>
      <c r="U27" s="23"/>
      <c r="V27" s="23"/>
      <c r="W27" s="23"/>
      <c r="X27" s="23"/>
      <c r="Y27" s="23"/>
      <c r="Z27" s="23"/>
      <c r="AA27" s="23"/>
      <c r="AB27" s="23"/>
      <c r="AC27" s="23"/>
      <c r="AD27" s="23"/>
      <c r="AE27" s="23"/>
      <c r="AF27" s="23"/>
      <c r="AG27" s="23"/>
    </row>
    <row r="28" spans="1:33" x14ac:dyDescent="0.25">
      <c r="A28" s="97">
        <v>25</v>
      </c>
      <c r="B28" s="103"/>
      <c r="C28" s="103"/>
      <c r="D28" s="103"/>
      <c r="E28" s="103"/>
      <c r="F28" s="103"/>
      <c r="G28" s="103"/>
      <c r="H28" s="103"/>
      <c r="I28" s="104"/>
      <c r="J28" s="103"/>
      <c r="K28" s="23"/>
      <c r="L28" s="23"/>
      <c r="M28" s="23"/>
      <c r="N28" s="23"/>
      <c r="O28" s="23"/>
      <c r="P28" s="23"/>
      <c r="Q28" s="23"/>
      <c r="R28" s="23"/>
      <c r="S28" s="23"/>
      <c r="T28" s="23"/>
      <c r="U28" s="23"/>
      <c r="V28" s="23"/>
      <c r="W28" s="23"/>
      <c r="X28" s="23"/>
      <c r="Y28" s="23"/>
      <c r="Z28" s="23"/>
      <c r="AA28" s="23"/>
      <c r="AB28" s="23"/>
      <c r="AC28" s="23"/>
      <c r="AD28" s="23"/>
      <c r="AE28" s="23"/>
      <c r="AF28" s="23"/>
      <c r="AG28" s="23"/>
    </row>
  </sheetData>
  <mergeCells count="2">
    <mergeCell ref="L4:AE4"/>
    <mergeCell ref="L16:AE16"/>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AG29"/>
  <sheetViews>
    <sheetView showGridLines="0" workbookViewId="0">
      <selection activeCell="Q1" sqref="Q1"/>
    </sheetView>
  </sheetViews>
  <sheetFormatPr defaultRowHeight="15.75" x14ac:dyDescent="0.25"/>
  <cols>
    <col min="1" max="1" width="7.875" bestFit="1" customWidth="1"/>
    <col min="2" max="3" width="10" bestFit="1" customWidth="1"/>
    <col min="4" max="4" width="19" bestFit="1" customWidth="1"/>
    <col min="5" max="5" width="8.375" bestFit="1" customWidth="1"/>
    <col min="6" max="6" width="5.375" bestFit="1" customWidth="1"/>
    <col min="7" max="7" width="5.875" bestFit="1" customWidth="1"/>
    <col min="8" max="8" width="11.875" bestFit="1" customWidth="1"/>
    <col min="9" max="9" width="11.875" customWidth="1"/>
    <col min="10" max="10" width="12.125" bestFit="1" customWidth="1"/>
    <col min="11" max="11" width="3.75" customWidth="1"/>
    <col min="12" max="31" width="3.625" customWidth="1"/>
    <col min="32" max="32" width="3" customWidth="1"/>
  </cols>
  <sheetData>
    <row r="1" spans="1:33" x14ac:dyDescent="0.25">
      <c r="A1" s="16"/>
      <c r="B1" s="16"/>
      <c r="C1" s="16"/>
      <c r="D1" s="16"/>
      <c r="E1" s="16"/>
      <c r="F1" s="16"/>
      <c r="G1" s="16"/>
      <c r="H1" s="16"/>
      <c r="I1" s="16"/>
      <c r="J1" s="16"/>
      <c r="K1" s="16"/>
      <c r="L1" s="16"/>
      <c r="M1" s="16"/>
      <c r="N1" s="16"/>
      <c r="O1" s="16"/>
      <c r="P1" s="16"/>
      <c r="Q1" s="16"/>
      <c r="R1" s="16"/>
      <c r="S1" s="17">
        <f t="shared" ref="S1:AB1" si="0">VLOOKUP(MAX($A$3:$A$147),$A$3:$H$147,2)</f>
        <v>0</v>
      </c>
      <c r="T1" s="17">
        <f t="shared" si="0"/>
        <v>0</v>
      </c>
      <c r="U1" s="17">
        <f t="shared" si="0"/>
        <v>0</v>
      </c>
      <c r="V1" s="17">
        <f t="shared" si="0"/>
        <v>0</v>
      </c>
      <c r="W1" s="17">
        <f t="shared" si="0"/>
        <v>0</v>
      </c>
      <c r="X1" s="17">
        <f t="shared" si="0"/>
        <v>0</v>
      </c>
      <c r="Y1" s="17">
        <f t="shared" si="0"/>
        <v>0</v>
      </c>
      <c r="Z1" s="17">
        <f t="shared" si="0"/>
        <v>0</v>
      </c>
      <c r="AA1" s="17">
        <f t="shared" si="0"/>
        <v>0</v>
      </c>
      <c r="AB1" s="17">
        <f t="shared" si="0"/>
        <v>0</v>
      </c>
      <c r="AC1" s="18"/>
      <c r="AD1" s="18"/>
      <c r="AE1" s="18"/>
      <c r="AF1" s="18"/>
      <c r="AG1" s="18"/>
    </row>
    <row r="2" spans="1:33" ht="16.5" thickBot="1" x14ac:dyDescent="0.3">
      <c r="A2" s="73"/>
      <c r="B2" s="20"/>
      <c r="C2" s="20"/>
      <c r="D2" s="20"/>
      <c r="E2" s="20"/>
      <c r="F2" s="20"/>
      <c r="G2" s="20"/>
      <c r="H2" s="20"/>
      <c r="I2" s="22"/>
      <c r="J2" s="20"/>
      <c r="K2" s="23"/>
      <c r="L2" s="23"/>
      <c r="M2" s="23"/>
      <c r="N2" s="23"/>
      <c r="O2" s="23"/>
      <c r="P2" s="23"/>
      <c r="Q2" s="23"/>
      <c r="R2" s="23"/>
      <c r="S2" s="23"/>
      <c r="T2" s="23"/>
      <c r="U2" s="23"/>
      <c r="V2" s="23"/>
      <c r="W2" s="23"/>
      <c r="X2" s="23"/>
      <c r="Y2" s="23"/>
      <c r="Z2" s="23"/>
      <c r="AA2" s="23"/>
      <c r="AB2" s="23"/>
      <c r="AC2" s="23"/>
      <c r="AD2" s="23"/>
      <c r="AE2" s="23"/>
      <c r="AF2" s="23"/>
      <c r="AG2" s="23"/>
    </row>
    <row r="3" spans="1:33" x14ac:dyDescent="0.25">
      <c r="A3" s="68" t="s">
        <v>38</v>
      </c>
      <c r="B3" s="69" t="s">
        <v>39</v>
      </c>
      <c r="C3" s="69" t="s">
        <v>40</v>
      </c>
      <c r="D3" s="69" t="s">
        <v>41</v>
      </c>
      <c r="E3" s="68" t="s">
        <v>42</v>
      </c>
      <c r="F3" s="68" t="s">
        <v>43</v>
      </c>
      <c r="G3" s="68" t="s">
        <v>44</v>
      </c>
      <c r="H3" s="68" t="s">
        <v>45</v>
      </c>
      <c r="I3" s="68" t="s">
        <v>46</v>
      </c>
      <c r="J3" s="68" t="s">
        <v>47</v>
      </c>
      <c r="K3" s="23"/>
      <c r="L3" s="29"/>
      <c r="M3" s="30"/>
      <c r="N3" s="30"/>
      <c r="O3" s="30"/>
      <c r="P3" s="30"/>
      <c r="Q3" s="30"/>
      <c r="R3" s="30"/>
      <c r="S3" s="30"/>
      <c r="T3" s="30"/>
      <c r="U3" s="30"/>
      <c r="V3" s="30"/>
      <c r="W3" s="30"/>
      <c r="X3" s="30"/>
      <c r="Y3" s="30"/>
      <c r="Z3" s="30"/>
      <c r="AA3" s="30"/>
      <c r="AB3" s="30"/>
      <c r="AC3" s="30"/>
      <c r="AD3" s="30"/>
      <c r="AE3" s="31"/>
      <c r="AF3" s="23"/>
      <c r="AG3" s="23"/>
    </row>
    <row r="4" spans="1:33" x14ac:dyDescent="0.25">
      <c r="A4" s="32">
        <v>1</v>
      </c>
      <c r="B4" s="33" t="s">
        <v>48</v>
      </c>
      <c r="C4" s="34" t="s">
        <v>49</v>
      </c>
      <c r="D4" s="34" t="s">
        <v>50</v>
      </c>
      <c r="E4" s="34" t="s">
        <v>51</v>
      </c>
      <c r="F4" s="35" t="s">
        <v>52</v>
      </c>
      <c r="G4" s="35">
        <v>30062</v>
      </c>
      <c r="H4" s="33" t="s">
        <v>53</v>
      </c>
      <c r="I4" s="37" t="s">
        <v>54</v>
      </c>
      <c r="J4" s="70">
        <v>157665</v>
      </c>
      <c r="K4" s="23"/>
      <c r="L4" s="300" t="s">
        <v>55</v>
      </c>
      <c r="M4" s="301"/>
      <c r="N4" s="301"/>
      <c r="O4" s="301"/>
      <c r="P4" s="301"/>
      <c r="Q4" s="301"/>
      <c r="R4" s="301"/>
      <c r="S4" s="301"/>
      <c r="T4" s="301"/>
      <c r="U4" s="301"/>
      <c r="V4" s="301"/>
      <c r="W4" s="301"/>
      <c r="X4" s="301"/>
      <c r="Y4" s="301"/>
      <c r="Z4" s="301"/>
      <c r="AA4" s="301"/>
      <c r="AB4" s="301"/>
      <c r="AC4" s="301"/>
      <c r="AD4" s="301"/>
      <c r="AE4" s="302"/>
      <c r="AF4" s="23"/>
      <c r="AG4" s="23"/>
    </row>
    <row r="5" spans="1:33" x14ac:dyDescent="0.25">
      <c r="A5" s="32">
        <v>2</v>
      </c>
      <c r="B5" s="39" t="s">
        <v>56</v>
      </c>
      <c r="C5" s="39" t="s">
        <v>57</v>
      </c>
      <c r="D5" s="39" t="s">
        <v>58</v>
      </c>
      <c r="E5" s="39" t="s">
        <v>51</v>
      </c>
      <c r="F5" s="40" t="s">
        <v>52</v>
      </c>
      <c r="G5" s="40">
        <v>30063</v>
      </c>
      <c r="H5" s="42" t="s">
        <v>59</v>
      </c>
      <c r="I5" s="43" t="s">
        <v>60</v>
      </c>
      <c r="J5" s="71">
        <v>156340</v>
      </c>
      <c r="K5" s="23"/>
      <c r="L5" s="45"/>
      <c r="M5" s="46"/>
      <c r="N5" s="46"/>
      <c r="O5" s="46"/>
      <c r="P5" s="46"/>
      <c r="Q5" s="46"/>
      <c r="R5" s="46"/>
      <c r="S5" s="46"/>
      <c r="T5" s="46"/>
      <c r="U5" s="46"/>
      <c r="V5" s="46"/>
      <c r="W5" s="46"/>
      <c r="X5" s="46"/>
      <c r="Y5" s="46"/>
      <c r="Z5" s="46"/>
      <c r="AA5" s="46"/>
      <c r="AB5" s="46"/>
      <c r="AC5" s="46"/>
      <c r="AD5" s="46"/>
      <c r="AE5" s="47"/>
      <c r="AF5" s="23"/>
      <c r="AG5" s="23"/>
    </row>
    <row r="6" spans="1:33" x14ac:dyDescent="0.25">
      <c r="A6" s="32">
        <v>3</v>
      </c>
      <c r="B6" s="39" t="s">
        <v>61</v>
      </c>
      <c r="C6" s="42" t="s">
        <v>62</v>
      </c>
      <c r="D6" s="39" t="s">
        <v>63</v>
      </c>
      <c r="E6" s="39" t="s">
        <v>51</v>
      </c>
      <c r="F6" s="40" t="s">
        <v>52</v>
      </c>
      <c r="G6" s="40">
        <v>30064</v>
      </c>
      <c r="H6" s="42" t="s">
        <v>64</v>
      </c>
      <c r="I6" s="43" t="s">
        <v>65</v>
      </c>
      <c r="J6" s="71">
        <v>81480</v>
      </c>
      <c r="K6" s="23"/>
      <c r="L6" s="45"/>
      <c r="M6" s="48" t="s">
        <v>39</v>
      </c>
      <c r="N6" s="46"/>
      <c r="O6" s="46"/>
      <c r="P6" s="76" t="str">
        <f>INDEX(B:B,MATCH(REPT("z",255),B:B))</f>
        <v>Mellow</v>
      </c>
      <c r="Q6" s="50"/>
      <c r="R6" s="50"/>
      <c r="S6" s="50"/>
      <c r="T6" s="50"/>
      <c r="U6" s="51"/>
      <c r="V6" s="46"/>
      <c r="W6" s="52" t="s">
        <v>42</v>
      </c>
      <c r="X6" s="46"/>
      <c r="Y6" s="49" t="str">
        <f>INDEX(E:E,MATCH(REPT("z",255),E:E))</f>
        <v>Chicago</v>
      </c>
      <c r="Z6" s="50"/>
      <c r="AA6" s="50"/>
      <c r="AB6" s="50"/>
      <c r="AC6" s="50"/>
      <c r="AD6" s="51"/>
      <c r="AE6" s="47"/>
      <c r="AF6" s="23"/>
      <c r="AG6" s="23"/>
    </row>
    <row r="7" spans="1:33" x14ac:dyDescent="0.25">
      <c r="A7" s="32">
        <v>4</v>
      </c>
      <c r="B7" s="39" t="s">
        <v>66</v>
      </c>
      <c r="C7" s="42" t="s">
        <v>67</v>
      </c>
      <c r="D7" s="39" t="s">
        <v>68</v>
      </c>
      <c r="E7" s="39" t="s">
        <v>51</v>
      </c>
      <c r="F7" s="40" t="s">
        <v>52</v>
      </c>
      <c r="G7" s="40">
        <v>30065</v>
      </c>
      <c r="H7" s="42" t="s">
        <v>69</v>
      </c>
      <c r="I7" s="43" t="s">
        <v>54</v>
      </c>
      <c r="J7" s="71">
        <v>202578</v>
      </c>
      <c r="K7" s="23"/>
      <c r="L7" s="45"/>
      <c r="M7" s="46"/>
      <c r="N7" s="46"/>
      <c r="O7" s="46"/>
      <c r="P7" s="46"/>
      <c r="Q7" s="46"/>
      <c r="R7" s="46"/>
      <c r="S7" s="46"/>
      <c r="T7" s="46"/>
      <c r="U7" s="46"/>
      <c r="V7" s="46"/>
      <c r="W7" s="46"/>
      <c r="X7" s="46"/>
      <c r="Y7" s="46"/>
      <c r="Z7" s="46"/>
      <c r="AA7" s="46"/>
      <c r="AB7" s="46"/>
      <c r="AC7" s="46"/>
      <c r="AD7" s="46"/>
      <c r="AE7" s="47"/>
      <c r="AF7" s="23"/>
      <c r="AG7" s="23"/>
    </row>
    <row r="8" spans="1:33" x14ac:dyDescent="0.25">
      <c r="A8" s="32">
        <v>5</v>
      </c>
      <c r="B8" s="42" t="s">
        <v>70</v>
      </c>
      <c r="C8" s="39" t="s">
        <v>71</v>
      </c>
      <c r="D8" s="39" t="s">
        <v>72</v>
      </c>
      <c r="E8" s="39" t="s">
        <v>51</v>
      </c>
      <c r="F8" s="40" t="s">
        <v>52</v>
      </c>
      <c r="G8" s="40">
        <v>30066</v>
      </c>
      <c r="H8" s="42" t="s">
        <v>73</v>
      </c>
      <c r="I8" s="43" t="s">
        <v>60</v>
      </c>
      <c r="J8" s="71">
        <v>177209</v>
      </c>
      <c r="K8" s="23"/>
      <c r="L8" s="45"/>
      <c r="M8" s="48" t="s">
        <v>40</v>
      </c>
      <c r="N8" s="46"/>
      <c r="O8" s="46"/>
      <c r="P8" s="49" t="str">
        <f>INDEX(C:C,MATCH(REPT("z",255),C:C))</f>
        <v>Julia</v>
      </c>
      <c r="Q8" s="50"/>
      <c r="R8" s="50"/>
      <c r="S8" s="50"/>
      <c r="T8" s="50"/>
      <c r="U8" s="51"/>
      <c r="V8" s="46"/>
      <c r="W8" s="52" t="s">
        <v>43</v>
      </c>
      <c r="X8" s="46"/>
      <c r="Y8" s="49" t="str">
        <f>INDEX(F:F,MATCH(REPT("z",255),F:F))</f>
        <v>IL</v>
      </c>
      <c r="Z8" s="50"/>
      <c r="AA8" s="50"/>
      <c r="AB8" s="50"/>
      <c r="AC8" s="50"/>
      <c r="AD8" s="51"/>
      <c r="AE8" s="47"/>
      <c r="AF8" s="23"/>
      <c r="AG8" s="23"/>
    </row>
    <row r="9" spans="1:33" x14ac:dyDescent="0.25">
      <c r="A9" s="32">
        <v>6</v>
      </c>
      <c r="B9" s="39" t="s">
        <v>74</v>
      </c>
      <c r="C9" s="39" t="s">
        <v>75</v>
      </c>
      <c r="D9" s="39" t="s">
        <v>76</v>
      </c>
      <c r="E9" s="39" t="s">
        <v>77</v>
      </c>
      <c r="F9" s="40" t="s">
        <v>52</v>
      </c>
      <c r="G9" s="40">
        <v>30092</v>
      </c>
      <c r="H9" s="42" t="s">
        <v>78</v>
      </c>
      <c r="I9" s="43" t="s">
        <v>65</v>
      </c>
      <c r="J9" s="71">
        <v>212254.23</v>
      </c>
      <c r="K9" s="23"/>
      <c r="L9" s="45"/>
      <c r="M9" s="46"/>
      <c r="N9" s="46"/>
      <c r="O9" s="46"/>
      <c r="P9" s="46"/>
      <c r="Q9" s="46"/>
      <c r="R9" s="46"/>
      <c r="S9" s="46"/>
      <c r="T9" s="46"/>
      <c r="U9" s="46"/>
      <c r="V9" s="46"/>
      <c r="W9" s="46"/>
      <c r="X9" s="46"/>
      <c r="Y9" s="46"/>
      <c r="Z9" s="46"/>
      <c r="AA9" s="46"/>
      <c r="AB9" s="46"/>
      <c r="AC9" s="46"/>
      <c r="AD9" s="46"/>
      <c r="AE9" s="47"/>
      <c r="AF9" s="23"/>
      <c r="AG9" s="23"/>
    </row>
    <row r="10" spans="1:33" x14ac:dyDescent="0.25">
      <c r="A10" s="32">
        <v>7</v>
      </c>
      <c r="B10" s="39" t="s">
        <v>79</v>
      </c>
      <c r="C10" s="39" t="s">
        <v>80</v>
      </c>
      <c r="D10" s="39" t="s">
        <v>50</v>
      </c>
      <c r="E10" s="39" t="s">
        <v>81</v>
      </c>
      <c r="F10" s="40" t="s">
        <v>82</v>
      </c>
      <c r="G10" s="40">
        <v>30092</v>
      </c>
      <c r="H10" s="42" t="s">
        <v>53</v>
      </c>
      <c r="I10" s="43" t="s">
        <v>54</v>
      </c>
      <c r="J10" s="71">
        <v>124533.45</v>
      </c>
      <c r="K10" s="23"/>
      <c r="L10" s="45"/>
      <c r="M10" s="48" t="s">
        <v>41</v>
      </c>
      <c r="N10" s="46"/>
      <c r="O10" s="46"/>
      <c r="P10" s="49" t="str">
        <f>INDEX(D:D,MATCH(REPT("z",255),D:D))</f>
        <v>899 S Plymouth Ct</v>
      </c>
      <c r="Q10" s="50"/>
      <c r="R10" s="50"/>
      <c r="S10" s="50"/>
      <c r="T10" s="50"/>
      <c r="U10" s="51"/>
      <c r="V10" s="46"/>
      <c r="W10" s="52" t="s">
        <v>44</v>
      </c>
      <c r="X10" s="46"/>
      <c r="Y10" s="327">
        <f>INDEX(G:G,MATCH(9.99999999999999E+307,G:G))</f>
        <v>60605</v>
      </c>
      <c r="Z10" s="327"/>
      <c r="AA10" s="50"/>
      <c r="AB10" s="50"/>
      <c r="AC10" s="50"/>
      <c r="AD10" s="51"/>
      <c r="AE10" s="47"/>
      <c r="AF10" s="23"/>
      <c r="AG10" s="23"/>
    </row>
    <row r="11" spans="1:33" x14ac:dyDescent="0.25">
      <c r="A11" s="32">
        <v>8</v>
      </c>
      <c r="B11" s="39" t="s">
        <v>135</v>
      </c>
      <c r="C11" s="39" t="s">
        <v>136</v>
      </c>
      <c r="D11" s="39" t="s">
        <v>137</v>
      </c>
      <c r="E11" s="39" t="s">
        <v>138</v>
      </c>
      <c r="F11" s="40" t="s">
        <v>139</v>
      </c>
      <c r="G11" s="39">
        <v>60605</v>
      </c>
      <c r="H11" s="39" t="s">
        <v>140</v>
      </c>
      <c r="I11" s="40" t="s">
        <v>141</v>
      </c>
      <c r="J11" s="121">
        <v>500000</v>
      </c>
      <c r="K11" s="23"/>
      <c r="L11" s="45"/>
      <c r="M11" s="46"/>
      <c r="N11" s="46"/>
      <c r="O11" s="46"/>
      <c r="P11" s="46"/>
      <c r="Q11" s="46"/>
      <c r="R11" s="46"/>
      <c r="S11" s="46"/>
      <c r="T11" s="46"/>
      <c r="U11" s="46"/>
      <c r="V11" s="46"/>
      <c r="W11" s="46"/>
      <c r="X11" s="46"/>
      <c r="Y11" s="46"/>
      <c r="Z11" s="46"/>
      <c r="AA11" s="46"/>
      <c r="AB11" s="46"/>
      <c r="AC11" s="46"/>
      <c r="AD11" s="46"/>
      <c r="AE11" s="47"/>
      <c r="AF11" s="23"/>
      <c r="AG11" s="23"/>
    </row>
    <row r="12" spans="1:33" x14ac:dyDescent="0.25">
      <c r="A12" s="32">
        <v>9</v>
      </c>
      <c r="B12" s="39"/>
      <c r="C12" s="39"/>
      <c r="D12" s="39"/>
      <c r="E12" s="39"/>
      <c r="F12" s="40"/>
      <c r="G12" s="39"/>
      <c r="H12" s="39"/>
      <c r="I12" s="40"/>
      <c r="J12" s="39"/>
      <c r="K12" s="23"/>
      <c r="L12" s="45"/>
      <c r="M12" s="52" t="s">
        <v>45</v>
      </c>
      <c r="N12" s="46"/>
      <c r="O12" s="46"/>
      <c r="P12" s="49" t="str">
        <f>INDEX(H:H,MATCH(REPT("z",255),H:H))</f>
        <v>312.957.1440</v>
      </c>
      <c r="Q12" s="50"/>
      <c r="R12" s="50"/>
      <c r="S12" s="50"/>
      <c r="T12" s="50"/>
      <c r="U12" s="51"/>
      <c r="V12" s="46"/>
      <c r="W12" s="60" t="s">
        <v>99</v>
      </c>
      <c r="X12" s="46"/>
      <c r="Y12" s="49" t="str">
        <f>INDEX(I:I,MATCH(REPT("z",255),I:I))</f>
        <v>Plan X</v>
      </c>
      <c r="Z12" s="50"/>
      <c r="AA12" s="50"/>
      <c r="AB12" s="50"/>
      <c r="AC12" s="50"/>
      <c r="AD12" s="51"/>
      <c r="AE12" s="47"/>
      <c r="AF12" s="23"/>
      <c r="AG12" s="23"/>
    </row>
    <row r="13" spans="1:33" x14ac:dyDescent="0.25">
      <c r="A13" s="32">
        <v>10</v>
      </c>
      <c r="B13" s="39"/>
      <c r="C13" s="39"/>
      <c r="D13" s="39"/>
      <c r="E13" s="39"/>
      <c r="F13" s="40"/>
      <c r="G13" s="39"/>
      <c r="H13" s="39"/>
      <c r="I13" s="40"/>
      <c r="J13" s="39"/>
      <c r="K13" s="23"/>
      <c r="L13" s="45"/>
      <c r="M13" s="46"/>
      <c r="N13" s="46"/>
      <c r="O13" s="46"/>
      <c r="P13" s="46"/>
      <c r="Q13" s="46"/>
      <c r="R13" s="46"/>
      <c r="S13" s="46"/>
      <c r="T13" s="46"/>
      <c r="U13" s="46"/>
      <c r="V13" s="46"/>
      <c r="W13" s="46"/>
      <c r="X13" s="46"/>
      <c r="Y13" s="46"/>
      <c r="Z13" s="46"/>
      <c r="AA13" s="46"/>
      <c r="AB13" s="46"/>
      <c r="AC13" s="46"/>
      <c r="AD13" s="46"/>
      <c r="AE13" s="47"/>
      <c r="AF13" s="23"/>
      <c r="AG13" s="23"/>
    </row>
    <row r="14" spans="1:33" x14ac:dyDescent="0.25">
      <c r="A14" s="32">
        <v>11</v>
      </c>
      <c r="B14" s="39"/>
      <c r="C14" s="39"/>
      <c r="D14" s="39"/>
      <c r="E14" s="39"/>
      <c r="F14" s="39"/>
      <c r="G14" s="39"/>
      <c r="H14" s="39"/>
      <c r="I14" s="40"/>
      <c r="J14" s="39"/>
      <c r="K14" s="23"/>
      <c r="L14" s="45"/>
      <c r="M14" s="52" t="s">
        <v>90</v>
      </c>
      <c r="N14" s="46"/>
      <c r="O14" s="46"/>
      <c r="P14" s="46"/>
      <c r="Q14" s="46"/>
      <c r="R14" s="46"/>
      <c r="S14" s="46"/>
      <c r="T14" s="46"/>
      <c r="U14" s="46"/>
      <c r="V14" s="46"/>
      <c r="W14" s="46"/>
      <c r="X14" s="46"/>
      <c r="Y14" s="328">
        <f>INDEX(J:J,MATCH(9.99999999999999E+307,J:J))</f>
        <v>500000</v>
      </c>
      <c r="Z14" s="329"/>
      <c r="AA14" s="329"/>
      <c r="AB14" s="329"/>
      <c r="AC14" s="329"/>
      <c r="AD14" s="51"/>
      <c r="AE14" s="47"/>
      <c r="AF14" s="23"/>
      <c r="AG14" s="23"/>
    </row>
    <row r="15" spans="1:33" x14ac:dyDescent="0.25">
      <c r="A15" s="32">
        <v>12</v>
      </c>
      <c r="B15" s="39"/>
      <c r="C15" s="39"/>
      <c r="D15" s="39"/>
      <c r="E15" s="39"/>
      <c r="F15" s="39"/>
      <c r="G15" s="39"/>
      <c r="H15" s="39"/>
      <c r="I15" s="40"/>
      <c r="J15" s="39"/>
      <c r="K15" s="23"/>
      <c r="L15" s="45"/>
      <c r="M15" s="46"/>
      <c r="N15" s="46"/>
      <c r="O15" s="46"/>
      <c r="P15" s="46"/>
      <c r="Q15" s="46"/>
      <c r="R15" s="46"/>
      <c r="S15" s="46"/>
      <c r="T15" s="46"/>
      <c r="U15" s="46"/>
      <c r="V15" s="46"/>
      <c r="W15" s="46"/>
      <c r="X15" s="46"/>
      <c r="Y15" s="46"/>
      <c r="Z15" s="46"/>
      <c r="AA15" s="46"/>
      <c r="AB15" s="46"/>
      <c r="AC15" s="46"/>
      <c r="AD15" s="46"/>
      <c r="AE15" s="47"/>
      <c r="AF15" s="23"/>
      <c r="AG15" s="23"/>
    </row>
    <row r="16" spans="1:33" x14ac:dyDescent="0.25">
      <c r="A16" s="32">
        <v>13</v>
      </c>
      <c r="B16" s="39"/>
      <c r="C16" s="39"/>
      <c r="D16" s="39"/>
      <c r="E16" s="39"/>
      <c r="F16" s="39"/>
      <c r="G16" s="39"/>
      <c r="H16" s="39"/>
      <c r="I16" s="40"/>
      <c r="J16" s="39"/>
      <c r="K16" s="23"/>
      <c r="L16" s="303" t="s">
        <v>91</v>
      </c>
      <c r="M16" s="304"/>
      <c r="N16" s="304"/>
      <c r="O16" s="304"/>
      <c r="P16" s="304"/>
      <c r="Q16" s="304"/>
      <c r="R16" s="304"/>
      <c r="S16" s="304"/>
      <c r="T16" s="304"/>
      <c r="U16" s="304"/>
      <c r="V16" s="304"/>
      <c r="W16" s="304"/>
      <c r="X16" s="304"/>
      <c r="Y16" s="304"/>
      <c r="Z16" s="304"/>
      <c r="AA16" s="304"/>
      <c r="AB16" s="304"/>
      <c r="AC16" s="304"/>
      <c r="AD16" s="304"/>
      <c r="AE16" s="305"/>
      <c r="AF16" s="23"/>
      <c r="AG16" s="23"/>
    </row>
    <row r="17" spans="1:33" ht="16.5" thickBot="1" x14ac:dyDescent="0.3">
      <c r="A17" s="32">
        <v>14</v>
      </c>
      <c r="B17" s="39"/>
      <c r="C17" s="39"/>
      <c r="D17" s="39"/>
      <c r="E17" s="39"/>
      <c r="F17" s="39"/>
      <c r="G17" s="39"/>
      <c r="H17" s="39"/>
      <c r="I17" s="40"/>
      <c r="J17" s="39"/>
      <c r="K17" s="23"/>
      <c r="L17" s="61"/>
      <c r="M17" s="62"/>
      <c r="N17" s="62"/>
      <c r="O17" s="62"/>
      <c r="P17" s="62"/>
      <c r="Q17" s="62"/>
      <c r="R17" s="62"/>
      <c r="S17" s="62"/>
      <c r="T17" s="62"/>
      <c r="U17" s="62"/>
      <c r="V17" s="62"/>
      <c r="W17" s="62"/>
      <c r="X17" s="62"/>
      <c r="Y17" s="62"/>
      <c r="Z17" s="62"/>
      <c r="AA17" s="62"/>
      <c r="AB17" s="62"/>
      <c r="AC17" s="62"/>
      <c r="AD17" s="62"/>
      <c r="AE17" s="63"/>
      <c r="AF17" s="23"/>
      <c r="AG17" s="23"/>
    </row>
    <row r="18" spans="1:33" x14ac:dyDescent="0.25">
      <c r="A18" s="32">
        <v>15</v>
      </c>
      <c r="B18" s="39"/>
      <c r="C18" s="39"/>
      <c r="D18" s="39"/>
      <c r="E18" s="39"/>
      <c r="F18" s="39"/>
      <c r="G18" s="39"/>
      <c r="H18" s="39"/>
      <c r="I18" s="40"/>
      <c r="J18" s="39"/>
      <c r="K18" s="23"/>
      <c r="L18" s="23"/>
      <c r="M18" s="23"/>
      <c r="N18" s="23"/>
      <c r="O18" s="23"/>
      <c r="P18" s="23"/>
      <c r="Q18" s="23"/>
      <c r="R18" s="23"/>
      <c r="S18" s="23"/>
      <c r="T18" s="23"/>
      <c r="U18" s="23"/>
      <c r="V18" s="23"/>
      <c r="W18" s="23"/>
      <c r="X18" s="23"/>
      <c r="Y18" s="23"/>
      <c r="Z18" s="23"/>
      <c r="AA18" s="23"/>
      <c r="AB18" s="23"/>
      <c r="AC18" s="23"/>
      <c r="AD18" s="23"/>
      <c r="AE18" s="23"/>
      <c r="AF18" s="23"/>
      <c r="AG18" s="23"/>
    </row>
    <row r="19" spans="1:33" x14ac:dyDescent="0.25">
      <c r="A19" s="32">
        <v>16</v>
      </c>
      <c r="B19" s="39"/>
      <c r="C19" s="39"/>
      <c r="D19" s="39"/>
      <c r="E19" s="39"/>
      <c r="F19" s="39"/>
      <c r="G19" s="39"/>
      <c r="H19" s="39"/>
      <c r="I19" s="40"/>
      <c r="J19" s="39"/>
      <c r="K19" s="23"/>
      <c r="L19" s="23"/>
      <c r="M19" s="23"/>
      <c r="N19" s="23"/>
      <c r="O19" s="23"/>
      <c r="P19" s="23"/>
      <c r="Q19" s="23"/>
      <c r="R19" s="23"/>
      <c r="S19" s="23"/>
      <c r="T19" s="23"/>
      <c r="U19" s="23"/>
      <c r="V19" s="23"/>
      <c r="W19" s="23"/>
      <c r="X19" s="23"/>
      <c r="Y19" s="23"/>
      <c r="Z19" s="23"/>
      <c r="AA19" s="23"/>
      <c r="AB19" s="23"/>
      <c r="AC19" s="23"/>
      <c r="AD19" s="23"/>
      <c r="AE19" s="23"/>
      <c r="AF19" s="23"/>
      <c r="AG19" s="23"/>
    </row>
    <row r="20" spans="1:33" x14ac:dyDescent="0.25">
      <c r="A20" s="32">
        <v>17</v>
      </c>
      <c r="B20" s="39"/>
      <c r="C20" s="39"/>
      <c r="D20" s="39"/>
      <c r="E20" s="39"/>
      <c r="F20" s="39"/>
      <c r="G20" s="39"/>
      <c r="H20" s="39"/>
      <c r="I20" s="40"/>
      <c r="J20" s="39"/>
      <c r="K20" s="23"/>
      <c r="L20" s="23"/>
      <c r="M20" s="23"/>
      <c r="N20" s="23"/>
      <c r="O20" s="23"/>
      <c r="P20" s="23"/>
      <c r="Q20" s="23"/>
      <c r="R20" s="23"/>
      <c r="S20" s="23"/>
      <c r="T20" s="23"/>
      <c r="U20" s="23"/>
      <c r="V20" s="23"/>
      <c r="W20" s="23"/>
      <c r="X20" s="23"/>
      <c r="Y20" s="23"/>
      <c r="Z20" s="23"/>
      <c r="AA20" s="23"/>
      <c r="AB20" s="23"/>
      <c r="AC20" s="23"/>
      <c r="AD20" s="23"/>
      <c r="AE20" s="23"/>
      <c r="AF20" s="23"/>
      <c r="AG20" s="23"/>
    </row>
    <row r="21" spans="1:33" x14ac:dyDescent="0.25">
      <c r="A21" s="32">
        <v>18</v>
      </c>
      <c r="B21" s="39"/>
      <c r="C21" s="39"/>
      <c r="D21" s="39"/>
      <c r="E21" s="39"/>
      <c r="F21" s="39"/>
      <c r="G21" s="39"/>
      <c r="H21" s="39"/>
      <c r="I21" s="40"/>
      <c r="J21" s="39"/>
      <c r="K21" s="23"/>
      <c r="L21" s="23"/>
      <c r="M21" s="23"/>
      <c r="N21" s="23"/>
      <c r="O21" s="23"/>
      <c r="P21" s="23"/>
      <c r="Q21" s="23"/>
      <c r="R21" s="23"/>
      <c r="S21" s="23"/>
      <c r="T21" s="23"/>
      <c r="U21" s="23"/>
      <c r="V21" s="23"/>
      <c r="W21" s="23"/>
      <c r="X21" s="23"/>
      <c r="Y21" s="23"/>
      <c r="Z21" s="23"/>
      <c r="AA21" s="23"/>
      <c r="AB21" s="23"/>
      <c r="AC21" s="23"/>
      <c r="AD21" s="23"/>
      <c r="AE21" s="23"/>
      <c r="AF21" s="23"/>
      <c r="AG21" s="23"/>
    </row>
    <row r="22" spans="1:33" x14ac:dyDescent="0.25">
      <c r="A22" s="32">
        <v>19</v>
      </c>
      <c r="B22" s="39"/>
      <c r="C22" s="39"/>
      <c r="D22" s="39"/>
      <c r="E22" s="39"/>
      <c r="F22" s="39"/>
      <c r="G22" s="39"/>
      <c r="H22" s="39"/>
      <c r="I22" s="40"/>
      <c r="J22" s="39"/>
      <c r="K22" s="23"/>
      <c r="L22" s="23"/>
      <c r="M22" s="23"/>
      <c r="N22" s="23"/>
      <c r="O22" s="23"/>
      <c r="P22" s="23"/>
      <c r="Q22" s="23"/>
      <c r="R22" s="23"/>
      <c r="S22" s="23"/>
      <c r="T22" s="23"/>
      <c r="U22" s="23"/>
      <c r="V22" s="23"/>
      <c r="W22" s="23"/>
      <c r="X22" s="23"/>
      <c r="Y22" s="23"/>
      <c r="Z22" s="23"/>
      <c r="AA22" s="23"/>
      <c r="AB22" s="23"/>
      <c r="AC22" s="23"/>
      <c r="AD22" s="23"/>
      <c r="AE22" s="23"/>
      <c r="AF22" s="23"/>
      <c r="AG22" s="23"/>
    </row>
    <row r="23" spans="1:33" x14ac:dyDescent="0.25">
      <c r="A23" s="32">
        <v>20</v>
      </c>
      <c r="B23" s="39"/>
      <c r="C23" s="39"/>
      <c r="D23" s="39"/>
      <c r="E23" s="39"/>
      <c r="F23" s="39"/>
      <c r="G23" s="39"/>
      <c r="H23" s="39"/>
      <c r="I23" s="40"/>
      <c r="J23" s="39"/>
      <c r="K23" s="23"/>
      <c r="L23" s="23"/>
      <c r="M23" s="23"/>
      <c r="N23" s="23"/>
      <c r="O23" s="23"/>
      <c r="P23" s="23"/>
      <c r="Q23" s="23"/>
      <c r="R23" s="23"/>
      <c r="S23" s="23"/>
      <c r="T23" s="23"/>
      <c r="U23" s="23"/>
      <c r="V23" s="23"/>
      <c r="W23" s="23"/>
      <c r="X23" s="23"/>
      <c r="Y23" s="23"/>
      <c r="Z23" s="23"/>
      <c r="AA23" s="23"/>
      <c r="AB23" s="23"/>
      <c r="AC23" s="23"/>
      <c r="AD23" s="23"/>
      <c r="AE23" s="23"/>
      <c r="AF23" s="23"/>
      <c r="AG23" s="23"/>
    </row>
    <row r="24" spans="1:33" x14ac:dyDescent="0.25">
      <c r="A24" s="32">
        <v>21</v>
      </c>
      <c r="B24" s="39"/>
      <c r="C24" s="39"/>
      <c r="D24" s="39"/>
      <c r="E24" s="39"/>
      <c r="F24" s="39"/>
      <c r="G24" s="39"/>
      <c r="H24" s="39"/>
      <c r="I24" s="40"/>
      <c r="J24" s="39"/>
      <c r="K24" s="23"/>
      <c r="L24" s="23"/>
      <c r="M24" s="23"/>
      <c r="N24" s="23"/>
      <c r="O24" s="23"/>
      <c r="P24" s="23"/>
      <c r="Q24" s="23"/>
      <c r="R24" s="23"/>
      <c r="S24" s="23"/>
      <c r="T24" s="23"/>
      <c r="U24" s="23"/>
      <c r="V24" s="23"/>
      <c r="W24" s="23"/>
      <c r="X24" s="23"/>
      <c r="Y24" s="23"/>
      <c r="Z24" s="23"/>
      <c r="AA24" s="23"/>
      <c r="AB24" s="23"/>
      <c r="AC24" s="23"/>
      <c r="AD24" s="23"/>
      <c r="AE24" s="23"/>
      <c r="AF24" s="23"/>
      <c r="AG24" s="23"/>
    </row>
    <row r="25" spans="1:33" x14ac:dyDescent="0.25">
      <c r="A25" s="32">
        <v>22</v>
      </c>
      <c r="B25" s="39"/>
      <c r="C25" s="39"/>
      <c r="D25" s="39"/>
      <c r="E25" s="39"/>
      <c r="F25" s="39"/>
      <c r="G25" s="39"/>
      <c r="H25" s="39"/>
      <c r="I25" s="40"/>
      <c r="J25" s="39"/>
      <c r="K25" s="23"/>
      <c r="L25" s="23"/>
      <c r="M25" s="23"/>
      <c r="N25" s="23"/>
      <c r="O25" s="23"/>
      <c r="P25" s="23"/>
      <c r="Q25" s="23"/>
      <c r="R25" s="23"/>
      <c r="S25" s="23"/>
      <c r="T25" s="23"/>
      <c r="U25" s="23"/>
      <c r="V25" s="23"/>
      <c r="W25" s="23"/>
      <c r="X25" s="23"/>
      <c r="Y25" s="23"/>
      <c r="Z25" s="23"/>
      <c r="AA25" s="23"/>
      <c r="AB25" s="23"/>
      <c r="AC25" s="23"/>
      <c r="AD25" s="23"/>
      <c r="AE25" s="23"/>
      <c r="AF25" s="23"/>
      <c r="AG25" s="23"/>
    </row>
    <row r="26" spans="1:33" x14ac:dyDescent="0.25">
      <c r="A26" s="32">
        <v>23</v>
      </c>
      <c r="B26" s="39"/>
      <c r="C26" s="39"/>
      <c r="D26" s="39"/>
      <c r="E26" s="39"/>
      <c r="F26" s="39"/>
      <c r="G26" s="39"/>
      <c r="H26" s="39"/>
      <c r="I26" s="40"/>
      <c r="J26" s="39"/>
      <c r="K26" s="23"/>
      <c r="L26" s="23"/>
      <c r="M26" s="23"/>
      <c r="N26" s="23"/>
      <c r="O26" s="23"/>
      <c r="P26" s="23"/>
      <c r="Q26" s="23"/>
      <c r="R26" s="23"/>
      <c r="S26" s="23"/>
      <c r="T26" s="23"/>
      <c r="U26" s="23"/>
      <c r="V26" s="23"/>
      <c r="W26" s="23"/>
      <c r="X26" s="23"/>
      <c r="Y26" s="23"/>
      <c r="Z26" s="23"/>
      <c r="AA26" s="23"/>
      <c r="AB26" s="23"/>
      <c r="AC26" s="23"/>
      <c r="AD26" s="23"/>
      <c r="AE26" s="23"/>
      <c r="AF26" s="23"/>
      <c r="AG26" s="23"/>
    </row>
    <row r="27" spans="1:33" x14ac:dyDescent="0.25">
      <c r="A27" s="32">
        <v>24</v>
      </c>
      <c r="B27" s="39"/>
      <c r="C27" s="39"/>
      <c r="D27" s="39"/>
      <c r="E27" s="39"/>
      <c r="F27" s="39"/>
      <c r="G27" s="39"/>
      <c r="H27" s="39"/>
      <c r="I27" s="40"/>
      <c r="J27" s="39"/>
      <c r="K27" s="23"/>
      <c r="L27" s="23"/>
      <c r="M27" s="23"/>
      <c r="N27" s="23"/>
      <c r="O27" s="23"/>
      <c r="P27" s="23"/>
      <c r="Q27" s="23"/>
      <c r="R27" s="23"/>
      <c r="S27" s="23"/>
      <c r="T27" s="23"/>
      <c r="U27" s="23"/>
      <c r="V27" s="23"/>
      <c r="W27" s="23"/>
      <c r="X27" s="23"/>
      <c r="Y27" s="23"/>
      <c r="Z27" s="23"/>
      <c r="AA27" s="23"/>
      <c r="AB27" s="23"/>
      <c r="AC27" s="23"/>
      <c r="AD27" s="23"/>
      <c r="AE27" s="23"/>
      <c r="AF27" s="23"/>
      <c r="AG27" s="23"/>
    </row>
    <row r="28" spans="1:33" x14ac:dyDescent="0.25">
      <c r="A28" s="32">
        <v>25</v>
      </c>
      <c r="B28" s="39"/>
      <c r="C28" s="39"/>
      <c r="D28" s="39"/>
      <c r="E28" s="39"/>
      <c r="F28" s="39"/>
      <c r="G28" s="39"/>
      <c r="H28" s="39"/>
      <c r="I28" s="40"/>
      <c r="J28" s="39"/>
      <c r="K28" s="23"/>
      <c r="L28" s="23"/>
      <c r="M28" s="23"/>
      <c r="N28" s="23"/>
      <c r="O28" s="23"/>
      <c r="P28" s="23"/>
      <c r="Q28" s="23"/>
      <c r="R28" s="23"/>
      <c r="S28" s="23"/>
      <c r="T28" s="23"/>
      <c r="U28" s="23"/>
      <c r="V28" s="23"/>
      <c r="W28" s="23"/>
      <c r="X28" s="23"/>
      <c r="Y28" s="23"/>
      <c r="Z28" s="23"/>
      <c r="AA28" s="23"/>
      <c r="AB28" s="23"/>
      <c r="AC28" s="23"/>
      <c r="AD28" s="23"/>
      <c r="AE28" s="23"/>
      <c r="AF28" s="23"/>
      <c r="AG28" s="23"/>
    </row>
    <row r="29" spans="1:33" x14ac:dyDescent="0.25">
      <c r="A29" s="32">
        <v>26</v>
      </c>
      <c r="B29" s="39"/>
      <c r="C29" s="39"/>
      <c r="D29" s="39"/>
      <c r="E29" s="39"/>
      <c r="F29" s="39"/>
      <c r="G29" s="39"/>
      <c r="H29" s="39"/>
      <c r="I29" s="40"/>
      <c r="J29" s="39"/>
      <c r="K29" s="23"/>
      <c r="L29" s="23"/>
      <c r="M29" s="23"/>
      <c r="N29" s="23"/>
      <c r="O29" s="23"/>
      <c r="P29" s="23"/>
      <c r="Q29" s="23"/>
      <c r="R29" s="23"/>
      <c r="S29" s="23"/>
      <c r="T29" s="23"/>
      <c r="U29" s="23"/>
      <c r="V29" s="23"/>
      <c r="W29" s="23"/>
      <c r="X29" s="23"/>
      <c r="Y29" s="23"/>
      <c r="Z29" s="23"/>
      <c r="AA29" s="23"/>
      <c r="AB29" s="23"/>
      <c r="AC29" s="23"/>
      <c r="AD29" s="23"/>
      <c r="AE29" s="23"/>
      <c r="AF29" s="23"/>
      <c r="AG29" s="23"/>
    </row>
  </sheetData>
  <mergeCells count="4">
    <mergeCell ref="L4:AE4"/>
    <mergeCell ref="Y10:Z10"/>
    <mergeCell ref="Y14:AC14"/>
    <mergeCell ref="L16:AE16"/>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AG30"/>
  <sheetViews>
    <sheetView showGridLines="0" workbookViewId="0">
      <selection activeCell="Q1" sqref="Q1"/>
    </sheetView>
  </sheetViews>
  <sheetFormatPr defaultRowHeight="15.75" x14ac:dyDescent="0.25"/>
  <cols>
    <col min="1" max="1" width="7.875" bestFit="1" customWidth="1"/>
    <col min="2" max="3" width="10" bestFit="1" customWidth="1"/>
    <col min="4" max="4" width="19" bestFit="1" customWidth="1"/>
    <col min="5" max="5" width="8.375" bestFit="1" customWidth="1"/>
    <col min="6" max="6" width="5.375" bestFit="1" customWidth="1"/>
    <col min="7" max="7" width="5.875" bestFit="1" customWidth="1"/>
    <col min="8" max="8" width="11.875" bestFit="1" customWidth="1"/>
    <col min="9" max="9" width="11.875" customWidth="1"/>
    <col min="10" max="10" width="12.125" bestFit="1" customWidth="1"/>
    <col min="11" max="11" width="3.75" customWidth="1"/>
    <col min="12" max="31" width="3.625" customWidth="1"/>
    <col min="32" max="32" width="3" customWidth="1"/>
  </cols>
  <sheetData>
    <row r="1" spans="1:33" x14ac:dyDescent="0.25">
      <c r="A1" s="16"/>
      <c r="B1" s="16"/>
      <c r="C1" s="16"/>
      <c r="D1" s="16"/>
      <c r="E1" s="16"/>
      <c r="F1" s="16"/>
      <c r="G1" s="16"/>
      <c r="H1" s="16"/>
      <c r="I1" s="16"/>
      <c r="J1" s="16"/>
      <c r="K1" s="16"/>
      <c r="L1" s="16"/>
      <c r="M1" s="16"/>
      <c r="N1" s="16"/>
      <c r="O1" s="16"/>
      <c r="P1" s="16"/>
      <c r="Q1" s="16"/>
      <c r="R1" s="16"/>
      <c r="S1" s="17">
        <f t="shared" ref="S1:AB1" si="0">VLOOKUP(MAX($A$3:$A$147),$A$3:$H$147,2)</f>
        <v>0</v>
      </c>
      <c r="T1" s="17">
        <f t="shared" si="0"/>
        <v>0</v>
      </c>
      <c r="U1" s="17">
        <f t="shared" si="0"/>
        <v>0</v>
      </c>
      <c r="V1" s="17">
        <f t="shared" si="0"/>
        <v>0</v>
      </c>
      <c r="W1" s="17">
        <f t="shared" si="0"/>
        <v>0</v>
      </c>
      <c r="X1" s="17">
        <f t="shared" si="0"/>
        <v>0</v>
      </c>
      <c r="Y1" s="17">
        <f t="shared" si="0"/>
        <v>0</v>
      </c>
      <c r="Z1" s="17">
        <f t="shared" si="0"/>
        <v>0</v>
      </c>
      <c r="AA1" s="17">
        <f t="shared" si="0"/>
        <v>0</v>
      </c>
      <c r="AB1" s="17">
        <f t="shared" si="0"/>
        <v>0</v>
      </c>
      <c r="AC1" s="18"/>
      <c r="AD1" s="18"/>
      <c r="AE1" s="18"/>
      <c r="AF1" s="18"/>
      <c r="AG1" s="18"/>
    </row>
    <row r="2" spans="1:33" ht="16.5" thickBot="1" x14ac:dyDescent="0.3">
      <c r="A2" s="73"/>
      <c r="B2" s="20"/>
      <c r="C2" s="20"/>
      <c r="D2" s="20"/>
      <c r="E2" s="20"/>
      <c r="F2" s="20"/>
      <c r="G2" s="20"/>
      <c r="H2" s="20"/>
      <c r="I2" s="22"/>
      <c r="J2" s="20"/>
      <c r="K2" s="23"/>
      <c r="L2" s="23"/>
      <c r="M2" s="23"/>
      <c r="N2" s="23"/>
      <c r="O2" s="23"/>
      <c r="P2" s="23"/>
      <c r="Q2" s="23"/>
      <c r="R2" s="23"/>
      <c r="S2" s="23"/>
      <c r="T2" s="23"/>
      <c r="U2" s="23"/>
      <c r="V2" s="23"/>
      <c r="W2" s="23"/>
      <c r="X2" s="23"/>
      <c r="Y2" s="23"/>
      <c r="Z2" s="23"/>
      <c r="AA2" s="23"/>
      <c r="AB2" s="23"/>
      <c r="AC2" s="23"/>
      <c r="AD2" s="23"/>
      <c r="AE2" s="23"/>
      <c r="AF2" s="23"/>
      <c r="AG2" s="23"/>
    </row>
    <row r="3" spans="1:33" ht="63" x14ac:dyDescent="0.25">
      <c r="A3" s="68" t="s">
        <v>38</v>
      </c>
      <c r="B3" s="69" t="s">
        <v>39</v>
      </c>
      <c r="C3" s="69" t="s">
        <v>40</v>
      </c>
      <c r="D3" s="69" t="s">
        <v>41</v>
      </c>
      <c r="E3" s="68" t="s">
        <v>42</v>
      </c>
      <c r="F3" s="68" t="s">
        <v>43</v>
      </c>
      <c r="G3" s="68" t="s">
        <v>44</v>
      </c>
      <c r="H3" s="68" t="s">
        <v>45</v>
      </c>
      <c r="I3" s="68" t="s">
        <v>99</v>
      </c>
      <c r="J3" s="122" t="s">
        <v>90</v>
      </c>
      <c r="K3" s="23"/>
      <c r="L3" s="29"/>
      <c r="M3" s="30"/>
      <c r="N3" s="30"/>
      <c r="O3" s="30"/>
      <c r="P3" s="30"/>
      <c r="Q3" s="30"/>
      <c r="R3" s="30"/>
      <c r="S3" s="30"/>
      <c r="T3" s="30"/>
      <c r="U3" s="30"/>
      <c r="V3" s="30"/>
      <c r="W3" s="30"/>
      <c r="X3" s="30"/>
      <c r="Y3" s="30"/>
      <c r="Z3" s="30"/>
      <c r="AA3" s="30"/>
      <c r="AB3" s="30"/>
      <c r="AC3" s="30"/>
      <c r="AD3" s="30"/>
      <c r="AE3" s="31"/>
      <c r="AF3" s="23"/>
      <c r="AG3" s="23"/>
    </row>
    <row r="4" spans="1:33" x14ac:dyDescent="0.25">
      <c r="A4" s="32">
        <v>1</v>
      </c>
      <c r="B4" s="33" t="s">
        <v>48</v>
      </c>
      <c r="C4" s="34" t="s">
        <v>49</v>
      </c>
      <c r="D4" s="34" t="s">
        <v>50</v>
      </c>
      <c r="E4" s="34" t="s">
        <v>51</v>
      </c>
      <c r="F4" s="35" t="s">
        <v>52</v>
      </c>
      <c r="G4" s="35">
        <v>30062</v>
      </c>
      <c r="H4" s="33" t="s">
        <v>53</v>
      </c>
      <c r="I4" s="37" t="s">
        <v>54</v>
      </c>
      <c r="J4" s="70">
        <v>157665</v>
      </c>
      <c r="K4" s="23"/>
      <c r="L4" s="300" t="s">
        <v>55</v>
      </c>
      <c r="M4" s="301"/>
      <c r="N4" s="301"/>
      <c r="O4" s="301"/>
      <c r="P4" s="301"/>
      <c r="Q4" s="301"/>
      <c r="R4" s="301"/>
      <c r="S4" s="301"/>
      <c r="T4" s="301"/>
      <c r="U4" s="301"/>
      <c r="V4" s="301"/>
      <c r="W4" s="301"/>
      <c r="X4" s="301"/>
      <c r="Y4" s="301"/>
      <c r="Z4" s="301"/>
      <c r="AA4" s="301"/>
      <c r="AB4" s="301"/>
      <c r="AC4" s="301"/>
      <c r="AD4" s="301"/>
      <c r="AE4" s="302"/>
      <c r="AF4" s="23"/>
      <c r="AG4" s="23"/>
    </row>
    <row r="5" spans="1:33" x14ac:dyDescent="0.25">
      <c r="A5" s="32">
        <v>2</v>
      </c>
      <c r="B5" s="39" t="s">
        <v>56</v>
      </c>
      <c r="C5" s="39" t="s">
        <v>57</v>
      </c>
      <c r="D5" s="39" t="s">
        <v>58</v>
      </c>
      <c r="E5" s="39" t="s">
        <v>51</v>
      </c>
      <c r="F5" s="40" t="s">
        <v>52</v>
      </c>
      <c r="G5" s="40">
        <v>30063</v>
      </c>
      <c r="H5" s="42" t="s">
        <v>59</v>
      </c>
      <c r="I5" s="43" t="s">
        <v>60</v>
      </c>
      <c r="J5" s="71">
        <v>156340</v>
      </c>
      <c r="K5" s="23"/>
      <c r="L5" s="45"/>
      <c r="M5" s="46"/>
      <c r="N5" s="46"/>
      <c r="O5" s="46"/>
      <c r="P5" s="46"/>
      <c r="Q5" s="46"/>
      <c r="R5" s="46"/>
      <c r="S5" s="46"/>
      <c r="T5" s="46"/>
      <c r="U5" s="46"/>
      <c r="V5" s="46"/>
      <c r="W5" s="46"/>
      <c r="X5" s="46"/>
      <c r="Y5" s="46"/>
      <c r="Z5" s="46"/>
      <c r="AA5" s="46"/>
      <c r="AB5" s="46"/>
      <c r="AC5" s="46"/>
      <c r="AD5" s="46"/>
      <c r="AE5" s="47"/>
      <c r="AF5" s="23"/>
      <c r="AG5" s="23"/>
    </row>
    <row r="6" spans="1:33" x14ac:dyDescent="0.25">
      <c r="A6" s="32">
        <v>3</v>
      </c>
      <c r="B6" s="39" t="s">
        <v>61</v>
      </c>
      <c r="C6" s="42" t="s">
        <v>62</v>
      </c>
      <c r="D6" s="39" t="s">
        <v>63</v>
      </c>
      <c r="E6" s="39" t="s">
        <v>51</v>
      </c>
      <c r="F6" s="40" t="s">
        <v>52</v>
      </c>
      <c r="G6" s="40">
        <v>30064</v>
      </c>
      <c r="H6" s="42" t="s">
        <v>64</v>
      </c>
      <c r="I6" s="43" t="s">
        <v>65</v>
      </c>
      <c r="J6" s="71">
        <v>81480</v>
      </c>
      <c r="K6" s="23"/>
      <c r="L6" s="45"/>
      <c r="M6" s="48" t="s">
        <v>39</v>
      </c>
      <c r="N6" s="46"/>
      <c r="O6" s="46"/>
      <c r="P6" s="76" t="str">
        <f>HLOOKUP(M6,$B$3:$J$1048576,COUNTA($B:$B),FALSE)</f>
        <v>Costanza</v>
      </c>
      <c r="Q6" s="50"/>
      <c r="R6" s="50"/>
      <c r="S6" s="50"/>
      <c r="T6" s="50"/>
      <c r="U6" s="51"/>
      <c r="V6" s="46"/>
      <c r="W6" s="52" t="s">
        <v>42</v>
      </c>
      <c r="X6" s="46"/>
      <c r="Y6" s="49" t="str">
        <f>HLOOKUP(W6,$B$3:$J$1048576,COUNTA($B:$B),FALSE)</f>
        <v>New York</v>
      </c>
      <c r="Z6" s="50"/>
      <c r="AA6" s="50"/>
      <c r="AB6" s="50"/>
      <c r="AC6" s="50"/>
      <c r="AD6" s="51"/>
      <c r="AE6" s="47"/>
      <c r="AF6" s="23"/>
      <c r="AG6" s="23"/>
    </row>
    <row r="7" spans="1:33" x14ac:dyDescent="0.25">
      <c r="A7" s="32">
        <v>4</v>
      </c>
      <c r="B7" s="39" t="s">
        <v>66</v>
      </c>
      <c r="C7" s="42" t="s">
        <v>67</v>
      </c>
      <c r="D7" s="39" t="s">
        <v>68</v>
      </c>
      <c r="E7" s="39" t="s">
        <v>51</v>
      </c>
      <c r="F7" s="40" t="s">
        <v>52</v>
      </c>
      <c r="G7" s="40">
        <v>30065</v>
      </c>
      <c r="H7" s="42" t="s">
        <v>69</v>
      </c>
      <c r="I7" s="43" t="s">
        <v>54</v>
      </c>
      <c r="J7" s="71">
        <v>202578</v>
      </c>
      <c r="K7" s="23"/>
      <c r="L7" s="45"/>
      <c r="M7" s="46"/>
      <c r="N7" s="46"/>
      <c r="O7" s="46"/>
      <c r="P7" s="46"/>
      <c r="Q7" s="46"/>
      <c r="R7" s="46"/>
      <c r="S7" s="46"/>
      <c r="T7" s="46"/>
      <c r="U7" s="46"/>
      <c r="V7" s="46"/>
      <c r="W7" s="46"/>
      <c r="X7" s="46"/>
      <c r="Y7" s="46"/>
      <c r="Z7" s="46"/>
      <c r="AA7" s="46"/>
      <c r="AB7" s="46"/>
      <c r="AC7" s="46"/>
      <c r="AD7" s="46"/>
      <c r="AE7" s="47"/>
      <c r="AF7" s="23"/>
      <c r="AG7" s="23"/>
    </row>
    <row r="8" spans="1:33" x14ac:dyDescent="0.25">
      <c r="A8" s="32">
        <v>5</v>
      </c>
      <c r="B8" s="42" t="s">
        <v>70</v>
      </c>
      <c r="C8" s="39" t="s">
        <v>71</v>
      </c>
      <c r="D8" s="39" t="s">
        <v>72</v>
      </c>
      <c r="E8" s="39" t="s">
        <v>51</v>
      </c>
      <c r="F8" s="40" t="s">
        <v>52</v>
      </c>
      <c r="G8" s="40">
        <v>30066</v>
      </c>
      <c r="H8" s="42" t="s">
        <v>73</v>
      </c>
      <c r="I8" s="43" t="s">
        <v>60</v>
      </c>
      <c r="J8" s="71">
        <v>177209</v>
      </c>
      <c r="K8" s="23"/>
      <c r="L8" s="45"/>
      <c r="M8" s="48" t="s">
        <v>40</v>
      </c>
      <c r="N8" s="46"/>
      <c r="O8" s="46"/>
      <c r="P8" s="49" t="str">
        <f>HLOOKUP(M8,$B$3:$J$1048576,COUNTA($B:$B),FALSE)</f>
        <v>George</v>
      </c>
      <c r="Q8" s="50"/>
      <c r="R8" s="50"/>
      <c r="S8" s="50"/>
      <c r="T8" s="50"/>
      <c r="U8" s="51"/>
      <c r="V8" s="46"/>
      <c r="W8" s="52" t="s">
        <v>43</v>
      </c>
      <c r="X8" s="46"/>
      <c r="Y8" s="49" t="str">
        <f>HLOOKUP(W8,$B$3:$J$1048576,COUNTA($B:$B),FALSE)</f>
        <v>NY</v>
      </c>
      <c r="Z8" s="50"/>
      <c r="AA8" s="50"/>
      <c r="AB8" s="50"/>
      <c r="AC8" s="50"/>
      <c r="AD8" s="51"/>
      <c r="AE8" s="47"/>
      <c r="AF8" s="23"/>
      <c r="AG8" s="23"/>
    </row>
    <row r="9" spans="1:33" x14ac:dyDescent="0.25">
      <c r="A9" s="32">
        <v>6</v>
      </c>
      <c r="B9" s="39" t="s">
        <v>74</v>
      </c>
      <c r="C9" s="39" t="s">
        <v>75</v>
      </c>
      <c r="D9" s="39" t="s">
        <v>76</v>
      </c>
      <c r="E9" s="39" t="s">
        <v>77</v>
      </c>
      <c r="F9" s="40" t="s">
        <v>52</v>
      </c>
      <c r="G9" s="40">
        <v>30092</v>
      </c>
      <c r="H9" s="42" t="s">
        <v>78</v>
      </c>
      <c r="I9" s="43" t="s">
        <v>65</v>
      </c>
      <c r="J9" s="71">
        <v>212254.23</v>
      </c>
      <c r="K9" s="23"/>
      <c r="L9" s="45"/>
      <c r="M9" s="46"/>
      <c r="N9" s="46"/>
      <c r="O9" s="46"/>
      <c r="P9" s="46"/>
      <c r="Q9" s="46"/>
      <c r="R9" s="46"/>
      <c r="S9" s="46"/>
      <c r="T9" s="46"/>
      <c r="U9" s="46"/>
      <c r="V9" s="46"/>
      <c r="W9" s="46"/>
      <c r="X9" s="46"/>
      <c r="Y9" s="46"/>
      <c r="Z9" s="46"/>
      <c r="AA9" s="46"/>
      <c r="AB9" s="46"/>
      <c r="AC9" s="46"/>
      <c r="AD9" s="46"/>
      <c r="AE9" s="47"/>
      <c r="AF9" s="23"/>
      <c r="AG9" s="23"/>
    </row>
    <row r="10" spans="1:33" x14ac:dyDescent="0.25">
      <c r="A10" s="32">
        <v>7</v>
      </c>
      <c r="B10" s="39" t="s">
        <v>79</v>
      </c>
      <c r="C10" s="39" t="s">
        <v>80</v>
      </c>
      <c r="D10" s="39" t="s">
        <v>50</v>
      </c>
      <c r="E10" s="39" t="s">
        <v>81</v>
      </c>
      <c r="F10" s="40" t="s">
        <v>82</v>
      </c>
      <c r="G10" s="40">
        <v>30092</v>
      </c>
      <c r="H10" s="42" t="s">
        <v>53</v>
      </c>
      <c r="I10" s="43" t="s">
        <v>54</v>
      </c>
      <c r="J10" s="71">
        <v>124533.45</v>
      </c>
      <c r="K10" s="23"/>
      <c r="L10" s="45"/>
      <c r="M10" s="48" t="s">
        <v>41</v>
      </c>
      <c r="N10" s="46"/>
      <c r="O10" s="46"/>
      <c r="P10" s="49" t="str">
        <f>HLOOKUP(M10,$B$3:$J$1048576,COUNTA($B:$B),FALSE)</f>
        <v>1344 Queen's Boulevard</v>
      </c>
      <c r="Q10" s="50"/>
      <c r="R10" s="50"/>
      <c r="S10" s="50"/>
      <c r="T10" s="50"/>
      <c r="U10" s="51"/>
      <c r="V10" s="46"/>
      <c r="W10" s="52" t="s">
        <v>44</v>
      </c>
      <c r="X10" s="46"/>
      <c r="Y10" s="330">
        <f>HLOOKUP(W10,$B$3:$J$1048576,COUNTA($B:$B),FALSE)</f>
        <v>11351</v>
      </c>
      <c r="Z10" s="331"/>
      <c r="AA10" s="50"/>
      <c r="AB10" s="50"/>
      <c r="AC10" s="50"/>
      <c r="AD10" s="51"/>
      <c r="AE10" s="47"/>
      <c r="AF10" s="23"/>
      <c r="AG10" s="23"/>
    </row>
    <row r="11" spans="1:33" x14ac:dyDescent="0.25">
      <c r="A11" s="32">
        <v>8</v>
      </c>
      <c r="B11" s="39" t="s">
        <v>145</v>
      </c>
      <c r="C11" s="39" t="s">
        <v>146</v>
      </c>
      <c r="D11" s="39" t="s">
        <v>147</v>
      </c>
      <c r="E11" s="39" t="s">
        <v>148</v>
      </c>
      <c r="F11" s="39" t="s">
        <v>149</v>
      </c>
      <c r="G11" s="39">
        <v>11351</v>
      </c>
      <c r="H11" s="39" t="s">
        <v>150</v>
      </c>
      <c r="I11" s="40" t="s">
        <v>60</v>
      </c>
      <c r="J11" s="71">
        <v>8.51</v>
      </c>
      <c r="K11" s="23"/>
      <c r="L11" s="45"/>
      <c r="M11" s="46"/>
      <c r="N11" s="46"/>
      <c r="O11" s="46"/>
      <c r="P11" s="46"/>
      <c r="Q11" s="46"/>
      <c r="R11" s="46"/>
      <c r="S11" s="46"/>
      <c r="T11" s="46"/>
      <c r="U11" s="46"/>
      <c r="V11" s="46"/>
      <c r="W11" s="46"/>
      <c r="X11" s="46"/>
      <c r="Y11" s="46"/>
      <c r="Z11" s="46"/>
      <c r="AA11" s="46"/>
      <c r="AB11" s="46"/>
      <c r="AC11" s="46"/>
      <c r="AD11" s="46"/>
      <c r="AE11" s="47"/>
      <c r="AF11" s="23"/>
      <c r="AG11" s="23"/>
    </row>
    <row r="12" spans="1:33" x14ac:dyDescent="0.25">
      <c r="A12" s="32">
        <v>9</v>
      </c>
      <c r="B12" s="39"/>
      <c r="C12" s="39"/>
      <c r="D12" s="39"/>
      <c r="E12" s="39"/>
      <c r="F12" s="39"/>
      <c r="G12" s="39"/>
      <c r="H12" s="39"/>
      <c r="I12" s="40"/>
      <c r="J12" s="39"/>
      <c r="K12" s="23"/>
      <c r="L12" s="45"/>
      <c r="M12" s="52" t="s">
        <v>45</v>
      </c>
      <c r="N12" s="46"/>
      <c r="O12" s="46"/>
      <c r="P12" s="49" t="str">
        <f>HLOOKUP(M12,$B$3:$J$1048576,COUNTA($B:$B),FALSE)</f>
        <v>212.555.0123</v>
      </c>
      <c r="Q12" s="50"/>
      <c r="R12" s="50"/>
      <c r="S12" s="50"/>
      <c r="T12" s="50"/>
      <c r="U12" s="51"/>
      <c r="V12" s="46"/>
      <c r="W12" s="60" t="s">
        <v>99</v>
      </c>
      <c r="X12" s="46"/>
      <c r="Y12" s="330" t="str">
        <f>HLOOKUP(W12,$B$3:$J$1048576,COUNTA($B:$B),FALSE)</f>
        <v>Plan B</v>
      </c>
      <c r="Z12" s="331"/>
      <c r="AA12" s="50"/>
      <c r="AB12" s="50"/>
      <c r="AC12" s="50"/>
      <c r="AD12" s="51"/>
      <c r="AE12" s="47"/>
      <c r="AF12" s="23"/>
      <c r="AG12" s="23"/>
    </row>
    <row r="13" spans="1:33" x14ac:dyDescent="0.25">
      <c r="A13" s="32">
        <v>10</v>
      </c>
      <c r="B13" s="39"/>
      <c r="C13" s="39"/>
      <c r="D13" s="39"/>
      <c r="E13" s="39"/>
      <c r="F13" s="39"/>
      <c r="G13" s="39"/>
      <c r="H13" s="39"/>
      <c r="I13" s="40"/>
      <c r="J13" s="39"/>
      <c r="K13" s="23"/>
      <c r="L13" s="45"/>
      <c r="M13" s="46"/>
      <c r="N13" s="46"/>
      <c r="O13" s="46"/>
      <c r="P13" s="46"/>
      <c r="Q13" s="46"/>
      <c r="R13" s="46"/>
      <c r="S13" s="46"/>
      <c r="T13" s="46"/>
      <c r="U13" s="46"/>
      <c r="V13" s="46"/>
      <c r="W13" s="46"/>
      <c r="X13" s="46"/>
      <c r="Y13" s="46"/>
      <c r="Z13" s="46"/>
      <c r="AA13" s="46"/>
      <c r="AB13" s="46"/>
      <c r="AC13" s="46"/>
      <c r="AD13" s="46"/>
      <c r="AE13" s="47"/>
      <c r="AF13" s="23"/>
      <c r="AG13" s="23"/>
    </row>
    <row r="14" spans="1:33" x14ac:dyDescent="0.25">
      <c r="A14" s="32">
        <v>11</v>
      </c>
      <c r="B14" s="39"/>
      <c r="C14" s="39"/>
      <c r="D14" s="39"/>
      <c r="E14" s="39"/>
      <c r="F14" s="39"/>
      <c r="G14" s="39"/>
      <c r="H14" s="39"/>
      <c r="I14" s="40"/>
      <c r="J14" s="39"/>
      <c r="K14" s="23"/>
      <c r="L14" s="45"/>
      <c r="M14" s="52" t="s">
        <v>90</v>
      </c>
      <c r="N14" s="46"/>
      <c r="O14" s="46"/>
      <c r="P14" s="46"/>
      <c r="Q14" s="46"/>
      <c r="R14" s="46"/>
      <c r="S14" s="46"/>
      <c r="T14" s="46"/>
      <c r="U14" s="46"/>
      <c r="V14" s="46"/>
      <c r="W14" s="46"/>
      <c r="X14" s="46"/>
      <c r="Y14" s="316">
        <f>HLOOKUP(M14,$B$3:$J$1048576,COUNTA($B:$B),FALSE)</f>
        <v>8.51</v>
      </c>
      <c r="Z14" s="332"/>
      <c r="AA14" s="332"/>
      <c r="AB14" s="332"/>
      <c r="AC14" s="50"/>
      <c r="AD14" s="51"/>
      <c r="AE14" s="47"/>
      <c r="AF14" s="23"/>
      <c r="AG14" s="23"/>
    </row>
    <row r="15" spans="1:33" x14ac:dyDescent="0.25">
      <c r="A15" s="32">
        <v>12</v>
      </c>
      <c r="B15" s="39"/>
      <c r="C15" s="39"/>
      <c r="D15" s="39"/>
      <c r="E15" s="39"/>
      <c r="F15" s="39"/>
      <c r="G15" s="39"/>
      <c r="H15" s="39"/>
      <c r="I15" s="40"/>
      <c r="J15" s="39"/>
      <c r="K15" s="23"/>
      <c r="L15" s="45"/>
      <c r="M15" s="46"/>
      <c r="N15" s="46"/>
      <c r="O15" s="46"/>
      <c r="P15" s="46"/>
      <c r="Q15" s="46"/>
      <c r="R15" s="46"/>
      <c r="S15" s="46"/>
      <c r="T15" s="46"/>
      <c r="U15" s="46"/>
      <c r="V15" s="46"/>
      <c r="W15" s="46"/>
      <c r="X15" s="46"/>
      <c r="Y15" s="46"/>
      <c r="Z15" s="46"/>
      <c r="AA15" s="46"/>
      <c r="AB15" s="46"/>
      <c r="AC15" s="46"/>
      <c r="AD15" s="46"/>
      <c r="AE15" s="47"/>
      <c r="AF15" s="23"/>
      <c r="AG15" s="23"/>
    </row>
    <row r="16" spans="1:33" x14ac:dyDescent="0.25">
      <c r="A16" s="32">
        <v>13</v>
      </c>
      <c r="B16" s="39"/>
      <c r="C16" s="39"/>
      <c r="D16" s="39"/>
      <c r="E16" s="39"/>
      <c r="F16" s="39"/>
      <c r="G16" s="39"/>
      <c r="H16" s="39"/>
      <c r="I16" s="40"/>
      <c r="J16" s="39"/>
      <c r="K16" s="23"/>
      <c r="L16" s="303" t="s">
        <v>91</v>
      </c>
      <c r="M16" s="304"/>
      <c r="N16" s="304"/>
      <c r="O16" s="304"/>
      <c r="P16" s="304"/>
      <c r="Q16" s="304"/>
      <c r="R16" s="304"/>
      <c r="S16" s="304"/>
      <c r="T16" s="304"/>
      <c r="U16" s="304"/>
      <c r="V16" s="304"/>
      <c r="W16" s="304"/>
      <c r="X16" s="304"/>
      <c r="Y16" s="304"/>
      <c r="Z16" s="304"/>
      <c r="AA16" s="304"/>
      <c r="AB16" s="304"/>
      <c r="AC16" s="304"/>
      <c r="AD16" s="304"/>
      <c r="AE16" s="305"/>
      <c r="AF16" s="23"/>
      <c r="AG16" s="23"/>
    </row>
    <row r="17" spans="1:33" ht="16.5" thickBot="1" x14ac:dyDescent="0.3">
      <c r="A17" s="32">
        <v>14</v>
      </c>
      <c r="B17" s="39"/>
      <c r="C17" s="39"/>
      <c r="D17" s="39"/>
      <c r="E17" s="39"/>
      <c r="F17" s="39"/>
      <c r="G17" s="39"/>
      <c r="H17" s="39"/>
      <c r="I17" s="40"/>
      <c r="J17" s="39"/>
      <c r="K17" s="23"/>
      <c r="L17" s="61"/>
      <c r="M17" s="62"/>
      <c r="N17" s="62"/>
      <c r="O17" s="62"/>
      <c r="P17" s="62"/>
      <c r="Q17" s="62"/>
      <c r="R17" s="62"/>
      <c r="S17" s="62"/>
      <c r="T17" s="62"/>
      <c r="U17" s="62"/>
      <c r="V17" s="62"/>
      <c r="W17" s="62"/>
      <c r="X17" s="62"/>
      <c r="Y17" s="62"/>
      <c r="Z17" s="62"/>
      <c r="AA17" s="62"/>
      <c r="AB17" s="62"/>
      <c r="AC17" s="62"/>
      <c r="AD17" s="62"/>
      <c r="AE17" s="63"/>
      <c r="AF17" s="23"/>
      <c r="AG17" s="23"/>
    </row>
    <row r="18" spans="1:33" x14ac:dyDescent="0.25">
      <c r="A18" s="32">
        <v>15</v>
      </c>
      <c r="B18" s="39"/>
      <c r="C18" s="39"/>
      <c r="D18" s="39"/>
      <c r="E18" s="39"/>
      <c r="F18" s="39"/>
      <c r="G18" s="39"/>
      <c r="H18" s="39"/>
      <c r="I18" s="40"/>
      <c r="J18" s="39"/>
      <c r="K18" s="23"/>
      <c r="L18" s="23"/>
      <c r="M18" s="23"/>
      <c r="N18" s="23"/>
      <c r="O18" s="23"/>
      <c r="P18" s="23"/>
      <c r="Q18" s="23"/>
      <c r="R18" s="23"/>
      <c r="S18" s="23"/>
      <c r="T18" s="23"/>
      <c r="U18" s="23"/>
      <c r="V18" s="23"/>
      <c r="W18" s="23"/>
      <c r="X18" s="23"/>
      <c r="Y18" s="23"/>
      <c r="Z18" s="23"/>
      <c r="AA18" s="23"/>
      <c r="AB18" s="23"/>
      <c r="AC18" s="23"/>
      <c r="AD18" s="23"/>
      <c r="AE18" s="23"/>
      <c r="AF18" s="23"/>
      <c r="AG18" s="23"/>
    </row>
    <row r="19" spans="1:33" x14ac:dyDescent="0.25">
      <c r="A19" s="32">
        <v>16</v>
      </c>
      <c r="B19" s="39"/>
      <c r="C19" s="39"/>
      <c r="D19" s="39"/>
      <c r="E19" s="39"/>
      <c r="F19" s="39"/>
      <c r="G19" s="39"/>
      <c r="H19" s="39"/>
      <c r="I19" s="40"/>
      <c r="J19" s="39"/>
      <c r="K19" s="23"/>
      <c r="L19" s="23"/>
      <c r="M19" s="23"/>
      <c r="N19" s="23"/>
      <c r="O19" s="23"/>
      <c r="P19" s="23"/>
      <c r="Q19" s="23"/>
      <c r="R19" s="23"/>
      <c r="S19" s="23"/>
      <c r="T19" s="23"/>
      <c r="U19" s="23"/>
      <c r="V19" s="23"/>
      <c r="W19" s="23"/>
      <c r="X19" s="23"/>
      <c r="Y19" s="23"/>
      <c r="Z19" s="23"/>
      <c r="AA19" s="23"/>
      <c r="AB19" s="23"/>
      <c r="AC19" s="23"/>
      <c r="AD19" s="23"/>
      <c r="AE19" s="23"/>
      <c r="AF19" s="23"/>
      <c r="AG19" s="23"/>
    </row>
    <row r="20" spans="1:33" x14ac:dyDescent="0.25">
      <c r="A20" s="32">
        <v>17</v>
      </c>
      <c r="B20" s="39"/>
      <c r="C20" s="39"/>
      <c r="D20" s="39"/>
      <c r="E20" s="39"/>
      <c r="F20" s="39"/>
      <c r="G20" s="39"/>
      <c r="H20" s="39"/>
      <c r="I20" s="40"/>
      <c r="J20" s="39"/>
      <c r="K20" s="23"/>
      <c r="L20" s="23"/>
      <c r="M20" s="23"/>
      <c r="N20" s="23"/>
      <c r="O20" s="23"/>
      <c r="P20" s="23"/>
      <c r="Q20" s="23"/>
      <c r="R20" s="23"/>
      <c r="S20" s="23"/>
      <c r="T20" s="23"/>
      <c r="U20" s="23"/>
      <c r="V20" s="23"/>
      <c r="W20" s="23"/>
      <c r="X20" s="23"/>
      <c r="Y20" s="23"/>
      <c r="Z20" s="23"/>
      <c r="AA20" s="23"/>
      <c r="AB20" s="23"/>
      <c r="AC20" s="23"/>
      <c r="AD20" s="23"/>
      <c r="AE20" s="23"/>
      <c r="AF20" s="23"/>
      <c r="AG20" s="23"/>
    </row>
    <row r="21" spans="1:33" x14ac:dyDescent="0.25">
      <c r="A21" s="32">
        <v>18</v>
      </c>
      <c r="B21" s="39"/>
      <c r="C21" s="39"/>
      <c r="D21" s="39"/>
      <c r="E21" s="39"/>
      <c r="F21" s="39"/>
      <c r="G21" s="39"/>
      <c r="H21" s="39"/>
      <c r="I21" s="40"/>
      <c r="J21" s="39"/>
      <c r="K21" s="23"/>
      <c r="L21" s="23"/>
      <c r="M21" s="23"/>
      <c r="N21" s="23"/>
      <c r="O21" s="23"/>
      <c r="P21" s="23"/>
      <c r="Q21" s="23"/>
      <c r="R21" s="23"/>
      <c r="S21" s="23"/>
      <c r="T21" s="23"/>
      <c r="U21" s="23"/>
      <c r="V21" s="23"/>
      <c r="W21" s="23"/>
      <c r="X21" s="23"/>
      <c r="Y21" s="23"/>
      <c r="Z21" s="23"/>
      <c r="AA21" s="23"/>
      <c r="AB21" s="23"/>
      <c r="AC21" s="23"/>
      <c r="AD21" s="23"/>
      <c r="AE21" s="23"/>
      <c r="AF21" s="23"/>
      <c r="AG21" s="23"/>
    </row>
    <row r="22" spans="1:33" x14ac:dyDescent="0.25">
      <c r="A22" s="32">
        <v>19</v>
      </c>
      <c r="B22" s="39"/>
      <c r="C22" s="39"/>
      <c r="D22" s="39"/>
      <c r="E22" s="39"/>
      <c r="F22" s="39"/>
      <c r="G22" s="39"/>
      <c r="H22" s="39"/>
      <c r="I22" s="40"/>
      <c r="J22" s="39"/>
      <c r="K22" s="23"/>
      <c r="L22" s="23"/>
      <c r="M22" s="23"/>
      <c r="N22" s="23"/>
      <c r="O22" s="23"/>
      <c r="P22" s="23"/>
      <c r="Q22" s="23"/>
      <c r="R22" s="23"/>
      <c r="S22" s="23"/>
      <c r="T22" s="23"/>
      <c r="U22" s="23"/>
      <c r="V22" s="23"/>
      <c r="W22" s="23"/>
      <c r="X22" s="23"/>
      <c r="Y22" s="23"/>
      <c r="Z22" s="23"/>
      <c r="AA22" s="23"/>
      <c r="AB22" s="23"/>
      <c r="AC22" s="23"/>
      <c r="AD22" s="23"/>
      <c r="AE22" s="23"/>
      <c r="AF22" s="23"/>
      <c r="AG22" s="23"/>
    </row>
    <row r="23" spans="1:33" x14ac:dyDescent="0.25">
      <c r="A23" s="32">
        <v>20</v>
      </c>
      <c r="B23" s="39"/>
      <c r="C23" s="39"/>
      <c r="D23" s="39"/>
      <c r="E23" s="39"/>
      <c r="F23" s="39"/>
      <c r="G23" s="39"/>
      <c r="H23" s="39"/>
      <c r="I23" s="40"/>
      <c r="J23" s="39"/>
      <c r="K23" s="23"/>
      <c r="L23" s="23"/>
      <c r="M23" s="23"/>
      <c r="N23" s="23"/>
      <c r="O23" s="23"/>
      <c r="P23" s="23"/>
      <c r="Q23" s="23"/>
      <c r="R23" s="23"/>
      <c r="S23" s="23"/>
      <c r="T23" s="23"/>
      <c r="U23" s="23"/>
      <c r="V23" s="23"/>
      <c r="W23" s="23"/>
      <c r="X23" s="23"/>
      <c r="Y23" s="23"/>
      <c r="Z23" s="23"/>
      <c r="AA23" s="23"/>
      <c r="AB23" s="23"/>
      <c r="AC23" s="23"/>
      <c r="AD23" s="23"/>
      <c r="AE23" s="23"/>
      <c r="AF23" s="23"/>
      <c r="AG23" s="23"/>
    </row>
    <row r="24" spans="1:33" x14ac:dyDescent="0.25">
      <c r="A24" s="32">
        <v>21</v>
      </c>
      <c r="B24" s="39"/>
      <c r="C24" s="39"/>
      <c r="D24" s="39"/>
      <c r="E24" s="39"/>
      <c r="F24" s="39"/>
      <c r="G24" s="39"/>
      <c r="H24" s="39"/>
      <c r="I24" s="40"/>
      <c r="J24" s="39"/>
      <c r="K24" s="23"/>
      <c r="L24" s="23"/>
      <c r="M24" s="23"/>
      <c r="N24" s="23"/>
      <c r="O24" s="23"/>
      <c r="P24" s="23"/>
      <c r="Q24" s="23"/>
      <c r="R24" s="23"/>
      <c r="S24" s="23"/>
      <c r="T24" s="23"/>
      <c r="U24" s="23"/>
      <c r="V24" s="23"/>
      <c r="W24" s="23"/>
      <c r="X24" s="23"/>
      <c r="Y24" s="23"/>
      <c r="Z24" s="23"/>
      <c r="AA24" s="23"/>
      <c r="AB24" s="23"/>
      <c r="AC24" s="23"/>
      <c r="AD24" s="23"/>
      <c r="AE24" s="23"/>
      <c r="AF24" s="23"/>
      <c r="AG24" s="23"/>
    </row>
    <row r="25" spans="1:33" x14ac:dyDescent="0.25">
      <c r="A25" s="32">
        <v>22</v>
      </c>
      <c r="B25" s="39"/>
      <c r="C25" s="39"/>
      <c r="D25" s="39"/>
      <c r="E25" s="39"/>
      <c r="F25" s="39"/>
      <c r="G25" s="39"/>
      <c r="H25" s="39"/>
      <c r="I25" s="40"/>
      <c r="J25" s="39"/>
      <c r="K25" s="23"/>
      <c r="L25" s="23"/>
      <c r="M25" s="23"/>
      <c r="N25" s="23"/>
      <c r="O25" s="23"/>
      <c r="P25" s="23"/>
      <c r="Q25" s="23"/>
      <c r="R25" s="23"/>
      <c r="S25" s="23"/>
      <c r="T25" s="23"/>
      <c r="U25" s="23"/>
      <c r="V25" s="23"/>
      <c r="W25" s="23"/>
      <c r="X25" s="23"/>
      <c r="Y25" s="23"/>
      <c r="Z25" s="23"/>
      <c r="AA25" s="23"/>
      <c r="AB25" s="23"/>
      <c r="AC25" s="23"/>
      <c r="AD25" s="23"/>
      <c r="AE25" s="23"/>
      <c r="AF25" s="23"/>
      <c r="AG25" s="23"/>
    </row>
    <row r="26" spans="1:33" x14ac:dyDescent="0.25">
      <c r="A26" s="32">
        <v>23</v>
      </c>
      <c r="B26" s="39"/>
      <c r="C26" s="39"/>
      <c r="D26" s="39"/>
      <c r="E26" s="39"/>
      <c r="F26" s="39"/>
      <c r="G26" s="39"/>
      <c r="H26" s="39"/>
      <c r="I26" s="40"/>
      <c r="J26" s="39"/>
      <c r="K26" s="23"/>
      <c r="L26" s="23"/>
      <c r="M26" s="23"/>
      <c r="N26" s="23"/>
      <c r="O26" s="23"/>
      <c r="P26" s="23"/>
      <c r="Q26" s="23"/>
      <c r="R26" s="23"/>
      <c r="S26" s="23"/>
      <c r="T26" s="23"/>
      <c r="U26" s="23"/>
      <c r="V26" s="23"/>
      <c r="W26" s="23"/>
      <c r="X26" s="23"/>
      <c r="Y26" s="23"/>
      <c r="Z26" s="23"/>
      <c r="AA26" s="23"/>
      <c r="AB26" s="23"/>
      <c r="AC26" s="23"/>
      <c r="AD26" s="23"/>
      <c r="AE26" s="23"/>
      <c r="AF26" s="23"/>
      <c r="AG26" s="23"/>
    </row>
    <row r="27" spans="1:33" x14ac:dyDescent="0.25">
      <c r="A27" s="32">
        <v>24</v>
      </c>
      <c r="B27" s="39"/>
      <c r="C27" s="39"/>
      <c r="D27" s="39"/>
      <c r="E27" s="39"/>
      <c r="F27" s="39"/>
      <c r="G27" s="39"/>
      <c r="H27" s="39"/>
      <c r="I27" s="40"/>
      <c r="J27" s="39"/>
      <c r="K27" s="23"/>
      <c r="L27" s="23"/>
      <c r="M27" s="23"/>
      <c r="N27" s="23"/>
      <c r="O27" s="23"/>
      <c r="P27" s="23"/>
      <c r="Q27" s="23"/>
      <c r="R27" s="23"/>
      <c r="S27" s="23"/>
      <c r="T27" s="23"/>
      <c r="U27" s="23"/>
      <c r="V27" s="23"/>
      <c r="W27" s="23"/>
      <c r="X27" s="23"/>
      <c r="Y27" s="23"/>
      <c r="Z27" s="23"/>
      <c r="AA27" s="23"/>
      <c r="AB27" s="23"/>
      <c r="AC27" s="23"/>
      <c r="AD27" s="23"/>
      <c r="AE27" s="23"/>
      <c r="AF27" s="23"/>
      <c r="AG27" s="23"/>
    </row>
    <row r="28" spans="1:33" x14ac:dyDescent="0.25">
      <c r="A28" s="32">
        <v>25</v>
      </c>
      <c r="B28" s="39"/>
      <c r="C28" s="39"/>
      <c r="D28" s="39"/>
      <c r="E28" s="39"/>
      <c r="F28" s="39"/>
      <c r="G28" s="39"/>
      <c r="H28" s="39"/>
      <c r="I28" s="40"/>
      <c r="J28" s="39"/>
      <c r="K28" s="23"/>
      <c r="L28" s="23"/>
      <c r="M28" s="23"/>
      <c r="N28" s="23"/>
      <c r="O28" s="23"/>
      <c r="P28" s="23"/>
      <c r="Q28" s="23"/>
      <c r="R28" s="23"/>
      <c r="S28" s="23"/>
      <c r="T28" s="23"/>
      <c r="U28" s="23"/>
      <c r="V28" s="23"/>
      <c r="W28" s="23"/>
      <c r="X28" s="23"/>
      <c r="Y28" s="23"/>
      <c r="Z28" s="23"/>
      <c r="AA28" s="23"/>
      <c r="AB28" s="23"/>
      <c r="AC28" s="23"/>
      <c r="AD28" s="23"/>
      <c r="AE28" s="23"/>
      <c r="AF28" s="23"/>
      <c r="AG28" s="23"/>
    </row>
    <row r="29" spans="1:33" x14ac:dyDescent="0.25">
      <c r="A29" s="32">
        <v>26</v>
      </c>
      <c r="B29" s="39"/>
      <c r="C29" s="39"/>
      <c r="D29" s="39"/>
      <c r="E29" s="39"/>
      <c r="F29" s="39"/>
      <c r="G29" s="39"/>
      <c r="H29" s="39"/>
      <c r="I29" s="40"/>
      <c r="J29" s="39"/>
      <c r="K29" s="23"/>
      <c r="L29" s="23"/>
      <c r="M29" s="23"/>
      <c r="N29" s="23"/>
      <c r="O29" s="23"/>
      <c r="P29" s="23"/>
      <c r="Q29" s="23"/>
      <c r="R29" s="23"/>
      <c r="S29" s="23"/>
      <c r="T29" s="23"/>
      <c r="U29" s="23"/>
      <c r="V29" s="23"/>
      <c r="W29" s="23"/>
      <c r="X29" s="23"/>
      <c r="Y29" s="23"/>
      <c r="Z29" s="23"/>
      <c r="AA29" s="23"/>
      <c r="AB29" s="23"/>
      <c r="AC29" s="23"/>
      <c r="AD29" s="23"/>
      <c r="AE29" s="23"/>
      <c r="AF29" s="23"/>
      <c r="AG29" s="23"/>
    </row>
    <row r="30" spans="1:33" x14ac:dyDescent="0.25">
      <c r="A30" s="32">
        <v>27</v>
      </c>
      <c r="B30" s="39"/>
      <c r="C30" s="39"/>
      <c r="D30" s="39"/>
      <c r="E30" s="39"/>
      <c r="F30" s="39"/>
      <c r="G30" s="39"/>
      <c r="H30" s="39"/>
      <c r="I30" s="40"/>
      <c r="J30" s="39"/>
      <c r="K30" s="23"/>
      <c r="L30" s="23"/>
      <c r="M30" s="23"/>
      <c r="N30" s="23"/>
      <c r="O30" s="23"/>
      <c r="P30" s="23"/>
      <c r="Q30" s="23"/>
      <c r="R30" s="23"/>
      <c r="S30" s="23"/>
      <c r="T30" s="23"/>
      <c r="U30" s="23"/>
      <c r="V30" s="23"/>
      <c r="W30" s="23"/>
      <c r="X30" s="23"/>
      <c r="Y30" s="23"/>
      <c r="Z30" s="23"/>
      <c r="AA30" s="23"/>
      <c r="AB30" s="23"/>
      <c r="AC30" s="23"/>
      <c r="AD30" s="23"/>
      <c r="AE30" s="23"/>
      <c r="AF30" s="23"/>
      <c r="AG30" s="23"/>
    </row>
  </sheetData>
  <mergeCells count="5">
    <mergeCell ref="L4:AE4"/>
    <mergeCell ref="Y10:Z10"/>
    <mergeCell ref="Y12:Z12"/>
    <mergeCell ref="Y14:AB14"/>
    <mergeCell ref="L16:AE16"/>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AG30"/>
  <sheetViews>
    <sheetView showGridLines="0" workbookViewId="0">
      <selection activeCell="Q1" sqref="Q1"/>
    </sheetView>
  </sheetViews>
  <sheetFormatPr defaultRowHeight="15.75" x14ac:dyDescent="0.25"/>
  <cols>
    <col min="1" max="1" width="7.875" bestFit="1" customWidth="1"/>
    <col min="2" max="3" width="10" bestFit="1" customWidth="1"/>
    <col min="4" max="4" width="19" bestFit="1" customWidth="1"/>
    <col min="5" max="5" width="8.375" bestFit="1" customWidth="1"/>
    <col min="6" max="6" width="5.375" bestFit="1" customWidth="1"/>
    <col min="7" max="7" width="5.875" bestFit="1" customWidth="1"/>
    <col min="8" max="8" width="11.875" bestFit="1" customWidth="1"/>
    <col min="9" max="9" width="11.875" customWidth="1"/>
    <col min="10" max="10" width="12.125" bestFit="1" customWidth="1"/>
    <col min="11" max="11" width="3.75" customWidth="1"/>
    <col min="12" max="31" width="3.625" customWidth="1"/>
    <col min="32" max="32" width="3" customWidth="1"/>
  </cols>
  <sheetData>
    <row r="1" spans="1:33" x14ac:dyDescent="0.25">
      <c r="A1" s="16"/>
      <c r="B1" s="16"/>
      <c r="C1" s="16"/>
      <c r="D1" s="16"/>
      <c r="E1" s="16"/>
      <c r="F1" s="16"/>
      <c r="G1" s="16"/>
      <c r="H1" s="16"/>
      <c r="I1" s="16"/>
      <c r="J1" s="16"/>
      <c r="K1" s="16"/>
      <c r="L1" s="16"/>
      <c r="M1" s="16"/>
      <c r="N1" s="16"/>
      <c r="O1" s="16"/>
      <c r="P1" s="16"/>
      <c r="Q1" s="16"/>
      <c r="R1" s="16"/>
      <c r="S1" s="17">
        <f t="shared" ref="S1:AB1" si="0">VLOOKUP(MAX($A$3:$A$147),$A$3:$H$147,2)</f>
        <v>0</v>
      </c>
      <c r="T1" s="17">
        <f t="shared" si="0"/>
        <v>0</v>
      </c>
      <c r="U1" s="17">
        <f t="shared" si="0"/>
        <v>0</v>
      </c>
      <c r="V1" s="17">
        <f t="shared" si="0"/>
        <v>0</v>
      </c>
      <c r="W1" s="17">
        <f t="shared" si="0"/>
        <v>0</v>
      </c>
      <c r="X1" s="17">
        <f t="shared" si="0"/>
        <v>0</v>
      </c>
      <c r="Y1" s="17">
        <f t="shared" si="0"/>
        <v>0</v>
      </c>
      <c r="Z1" s="17">
        <f t="shared" si="0"/>
        <v>0</v>
      </c>
      <c r="AA1" s="17">
        <f t="shared" si="0"/>
        <v>0</v>
      </c>
      <c r="AB1" s="17">
        <f t="shared" si="0"/>
        <v>0</v>
      </c>
      <c r="AC1" s="18"/>
      <c r="AD1" s="18"/>
      <c r="AE1" s="18"/>
      <c r="AF1" s="18"/>
      <c r="AG1" s="18"/>
    </row>
    <row r="2" spans="1:33" ht="16.5" thickBot="1" x14ac:dyDescent="0.3">
      <c r="A2" s="73"/>
      <c r="B2" s="20"/>
      <c r="C2" s="20"/>
      <c r="D2" s="20"/>
      <c r="E2" s="20"/>
      <c r="F2" s="20"/>
      <c r="G2" s="20"/>
      <c r="H2" s="20"/>
      <c r="I2" s="22"/>
      <c r="J2" s="20"/>
      <c r="K2" s="23"/>
      <c r="L2" s="23"/>
      <c r="M2" s="23"/>
      <c r="N2" s="23"/>
      <c r="O2" s="23"/>
      <c r="P2" s="23"/>
      <c r="Q2" s="23"/>
      <c r="R2" s="23"/>
      <c r="S2" s="23"/>
      <c r="T2" s="23"/>
      <c r="U2" s="23"/>
      <c r="V2" s="23"/>
      <c r="W2" s="23"/>
      <c r="X2" s="23"/>
      <c r="Y2" s="23"/>
      <c r="Z2" s="23"/>
      <c r="AA2" s="23"/>
      <c r="AB2" s="23"/>
      <c r="AC2" s="23"/>
      <c r="AD2" s="23"/>
      <c r="AE2" s="23"/>
      <c r="AF2" s="23"/>
      <c r="AG2" s="23"/>
    </row>
    <row r="3" spans="1:33" x14ac:dyDescent="0.25">
      <c r="A3" s="68" t="s">
        <v>38</v>
      </c>
      <c r="B3" s="69" t="s">
        <v>39</v>
      </c>
      <c r="C3" s="69" t="s">
        <v>40</v>
      </c>
      <c r="D3" s="69" t="s">
        <v>41</v>
      </c>
      <c r="E3" s="68" t="s">
        <v>42</v>
      </c>
      <c r="F3" s="68" t="s">
        <v>43</v>
      </c>
      <c r="G3" s="68" t="s">
        <v>44</v>
      </c>
      <c r="H3" s="68" t="s">
        <v>45</v>
      </c>
      <c r="I3" s="68" t="s">
        <v>46</v>
      </c>
      <c r="J3" s="68" t="s">
        <v>47</v>
      </c>
      <c r="K3" s="23"/>
      <c r="L3" s="29"/>
      <c r="M3" s="30"/>
      <c r="N3" s="30"/>
      <c r="O3" s="30"/>
      <c r="P3" s="30"/>
      <c r="Q3" s="30"/>
      <c r="R3" s="30"/>
      <c r="S3" s="30"/>
      <c r="T3" s="30"/>
      <c r="U3" s="30"/>
      <c r="V3" s="30"/>
      <c r="W3" s="30"/>
      <c r="X3" s="30"/>
      <c r="Y3" s="30"/>
      <c r="Z3" s="30"/>
      <c r="AA3" s="30"/>
      <c r="AB3" s="30"/>
      <c r="AC3" s="30"/>
      <c r="AD3" s="30"/>
      <c r="AE3" s="31"/>
      <c r="AF3" s="23"/>
      <c r="AG3" s="23"/>
    </row>
    <row r="4" spans="1:33" x14ac:dyDescent="0.25">
      <c r="A4" s="32">
        <v>1</v>
      </c>
      <c r="B4" s="33" t="s">
        <v>48</v>
      </c>
      <c r="C4" s="34" t="s">
        <v>49</v>
      </c>
      <c r="D4" s="34" t="s">
        <v>50</v>
      </c>
      <c r="E4" s="34" t="s">
        <v>51</v>
      </c>
      <c r="F4" s="35" t="s">
        <v>52</v>
      </c>
      <c r="G4" s="35">
        <v>30062</v>
      </c>
      <c r="H4" s="33" t="s">
        <v>53</v>
      </c>
      <c r="I4" s="37" t="s">
        <v>54</v>
      </c>
      <c r="J4" s="70">
        <v>157665</v>
      </c>
      <c r="K4" s="23"/>
      <c r="L4" s="300" t="s">
        <v>55</v>
      </c>
      <c r="M4" s="301"/>
      <c r="N4" s="301"/>
      <c r="O4" s="301"/>
      <c r="P4" s="301"/>
      <c r="Q4" s="301"/>
      <c r="R4" s="301"/>
      <c r="S4" s="301"/>
      <c r="T4" s="301"/>
      <c r="U4" s="301"/>
      <c r="V4" s="301"/>
      <c r="W4" s="301"/>
      <c r="X4" s="301"/>
      <c r="Y4" s="301"/>
      <c r="Z4" s="301"/>
      <c r="AA4" s="301"/>
      <c r="AB4" s="301"/>
      <c r="AC4" s="301"/>
      <c r="AD4" s="301"/>
      <c r="AE4" s="302"/>
      <c r="AF4" s="23"/>
      <c r="AG4" s="23"/>
    </row>
    <row r="5" spans="1:33" x14ac:dyDescent="0.25">
      <c r="A5" s="32">
        <v>2</v>
      </c>
      <c r="B5" s="39" t="s">
        <v>56</v>
      </c>
      <c r="C5" s="39" t="s">
        <v>57</v>
      </c>
      <c r="D5" s="39" t="s">
        <v>58</v>
      </c>
      <c r="E5" s="39" t="s">
        <v>51</v>
      </c>
      <c r="F5" s="40" t="s">
        <v>52</v>
      </c>
      <c r="G5" s="40">
        <v>30063</v>
      </c>
      <c r="H5" s="42" t="s">
        <v>59</v>
      </c>
      <c r="I5" s="43" t="s">
        <v>60</v>
      </c>
      <c r="J5" s="71">
        <v>156340</v>
      </c>
      <c r="K5" s="23"/>
      <c r="L5" s="45"/>
      <c r="M5" s="46"/>
      <c r="N5" s="46"/>
      <c r="O5" s="46"/>
      <c r="P5" s="46"/>
      <c r="Q5" s="46"/>
      <c r="R5" s="46"/>
      <c r="S5" s="46"/>
      <c r="T5" s="46"/>
      <c r="U5" s="46"/>
      <c r="V5" s="46"/>
      <c r="W5" s="46"/>
      <c r="X5" s="46"/>
      <c r="Y5" s="46"/>
      <c r="Z5" s="46"/>
      <c r="AA5" s="46"/>
      <c r="AB5" s="46"/>
      <c r="AC5" s="46"/>
      <c r="AD5" s="46"/>
      <c r="AE5" s="47"/>
      <c r="AF5" s="23"/>
      <c r="AG5" s="23"/>
    </row>
    <row r="6" spans="1:33" x14ac:dyDescent="0.25">
      <c r="A6" s="32">
        <v>3</v>
      </c>
      <c r="B6" s="39" t="s">
        <v>61</v>
      </c>
      <c r="C6" s="42" t="s">
        <v>62</v>
      </c>
      <c r="D6" s="39" t="s">
        <v>63</v>
      </c>
      <c r="E6" s="39" t="s">
        <v>51</v>
      </c>
      <c r="F6" s="40" t="s">
        <v>52</v>
      </c>
      <c r="G6" s="40">
        <v>30064</v>
      </c>
      <c r="H6" s="42" t="s">
        <v>64</v>
      </c>
      <c r="I6" s="43" t="s">
        <v>65</v>
      </c>
      <c r="J6" s="71">
        <v>81480</v>
      </c>
      <c r="K6" s="23"/>
      <c r="L6" s="45"/>
      <c r="M6" s="48" t="s">
        <v>39</v>
      </c>
      <c r="N6" s="46"/>
      <c r="O6" s="46"/>
      <c r="P6" s="49" t="str">
        <f>INDEX(B:B,COUNT(J:J)+3)</f>
        <v>Collins</v>
      </c>
      <c r="Q6" s="50"/>
      <c r="R6" s="50"/>
      <c r="S6" s="50"/>
      <c r="T6" s="50"/>
      <c r="U6" s="51"/>
      <c r="V6" s="46"/>
      <c r="W6" s="52" t="s">
        <v>42</v>
      </c>
      <c r="X6" s="46"/>
      <c r="Y6" s="49" t="str">
        <f>INDEX(E:E,COUNT(J:J)+3)</f>
        <v>Norcross</v>
      </c>
      <c r="Z6" s="50"/>
      <c r="AA6" s="50"/>
      <c r="AB6" s="50"/>
      <c r="AC6" s="50"/>
      <c r="AD6" s="51"/>
      <c r="AE6" s="47"/>
      <c r="AF6" s="23"/>
      <c r="AG6" s="23"/>
    </row>
    <row r="7" spans="1:33" x14ac:dyDescent="0.25">
      <c r="A7" s="32">
        <v>4</v>
      </c>
      <c r="B7" s="39" t="s">
        <v>66</v>
      </c>
      <c r="C7" s="42" t="s">
        <v>67</v>
      </c>
      <c r="D7" s="39" t="s">
        <v>68</v>
      </c>
      <c r="E7" s="39" t="s">
        <v>51</v>
      </c>
      <c r="F7" s="40" t="s">
        <v>52</v>
      </c>
      <c r="G7" s="40">
        <v>30065</v>
      </c>
      <c r="H7" s="42" t="s">
        <v>69</v>
      </c>
      <c r="I7" s="43" t="s">
        <v>54</v>
      </c>
      <c r="J7" s="71">
        <v>202578</v>
      </c>
      <c r="K7" s="23"/>
      <c r="L7" s="45"/>
      <c r="M7" s="46"/>
      <c r="N7" s="46"/>
      <c r="O7" s="46"/>
      <c r="P7" s="46"/>
      <c r="Q7" s="46"/>
      <c r="R7" s="46"/>
      <c r="S7" s="46"/>
      <c r="T7" s="46"/>
      <c r="U7" s="46"/>
      <c r="V7" s="46"/>
      <c r="W7" s="46"/>
      <c r="X7" s="46"/>
      <c r="Y7" s="46"/>
      <c r="Z7" s="46"/>
      <c r="AA7" s="46"/>
      <c r="AB7" s="46"/>
      <c r="AC7" s="46"/>
      <c r="AD7" s="46"/>
      <c r="AE7" s="47"/>
      <c r="AF7" s="23"/>
      <c r="AG7" s="23"/>
    </row>
    <row r="8" spans="1:33" x14ac:dyDescent="0.25">
      <c r="A8" s="32">
        <v>5</v>
      </c>
      <c r="B8" s="42" t="s">
        <v>70</v>
      </c>
      <c r="C8" s="39" t="s">
        <v>71</v>
      </c>
      <c r="D8" s="39" t="s">
        <v>72</v>
      </c>
      <c r="E8" s="39" t="s">
        <v>51</v>
      </c>
      <c r="F8" s="40" t="s">
        <v>52</v>
      </c>
      <c r="G8" s="40">
        <v>30066</v>
      </c>
      <c r="H8" s="42" t="s">
        <v>73</v>
      </c>
      <c r="I8" s="43" t="s">
        <v>60</v>
      </c>
      <c r="J8" s="71">
        <v>177209</v>
      </c>
      <c r="K8" s="23"/>
      <c r="L8" s="45"/>
      <c r="M8" s="48" t="s">
        <v>40</v>
      </c>
      <c r="N8" s="46"/>
      <c r="O8" s="46"/>
      <c r="P8" s="49" t="str">
        <f>INDEX(C:C,COUNT(J:J)+3)</f>
        <v>Carlton</v>
      </c>
      <c r="Q8" s="50"/>
      <c r="R8" s="50"/>
      <c r="S8" s="50"/>
      <c r="T8" s="50"/>
      <c r="U8" s="51"/>
      <c r="V8" s="46"/>
      <c r="W8" s="52" t="s">
        <v>43</v>
      </c>
      <c r="X8" s="46"/>
      <c r="Y8" s="49" t="str">
        <f>INDEX(F:F,COUNT(J:J)+3)</f>
        <v xml:space="preserve">GA </v>
      </c>
      <c r="Z8" s="50"/>
      <c r="AA8" s="50"/>
      <c r="AB8" s="50"/>
      <c r="AC8" s="50"/>
      <c r="AD8" s="51"/>
      <c r="AE8" s="47"/>
      <c r="AF8" s="23"/>
      <c r="AG8" s="23"/>
    </row>
    <row r="9" spans="1:33" x14ac:dyDescent="0.25">
      <c r="A9" s="32">
        <v>6</v>
      </c>
      <c r="B9" s="39" t="s">
        <v>74</v>
      </c>
      <c r="C9" s="39" t="s">
        <v>75</v>
      </c>
      <c r="D9" s="39" t="s">
        <v>76</v>
      </c>
      <c r="E9" s="39" t="s">
        <v>77</v>
      </c>
      <c r="F9" s="40" t="s">
        <v>52</v>
      </c>
      <c r="G9" s="40">
        <v>30092</v>
      </c>
      <c r="H9" s="42" t="s">
        <v>78</v>
      </c>
      <c r="I9" s="43" t="s">
        <v>65</v>
      </c>
      <c r="J9" s="71">
        <v>212254.23</v>
      </c>
      <c r="K9" s="23"/>
      <c r="L9" s="45"/>
      <c r="M9" s="46"/>
      <c r="N9" s="46"/>
      <c r="O9" s="46"/>
      <c r="P9" s="46"/>
      <c r="Q9" s="46"/>
      <c r="R9" s="46"/>
      <c r="S9" s="46"/>
      <c r="T9" s="46"/>
      <c r="U9" s="46"/>
      <c r="V9" s="46"/>
      <c r="W9" s="46"/>
      <c r="X9" s="46"/>
      <c r="Y9" s="46"/>
      <c r="Z9" s="46"/>
      <c r="AA9" s="46"/>
      <c r="AB9" s="46"/>
      <c r="AC9" s="46"/>
      <c r="AD9" s="46"/>
      <c r="AE9" s="47"/>
      <c r="AF9" s="23"/>
      <c r="AG9" s="23"/>
    </row>
    <row r="10" spans="1:33" x14ac:dyDescent="0.25">
      <c r="A10" s="32">
        <v>7</v>
      </c>
      <c r="B10" s="39" t="s">
        <v>79</v>
      </c>
      <c r="C10" s="39" t="s">
        <v>80</v>
      </c>
      <c r="D10" s="39" t="s">
        <v>50</v>
      </c>
      <c r="E10" s="39" t="s">
        <v>81</v>
      </c>
      <c r="F10" s="40" t="s">
        <v>82</v>
      </c>
      <c r="G10" s="40">
        <v>30092</v>
      </c>
      <c r="H10" s="42" t="s">
        <v>53</v>
      </c>
      <c r="I10" s="43" t="s">
        <v>54</v>
      </c>
      <c r="J10" s="71">
        <v>124533.45</v>
      </c>
      <c r="K10" s="23"/>
      <c r="L10" s="45"/>
      <c r="M10" s="48" t="s">
        <v>41</v>
      </c>
      <c r="N10" s="46"/>
      <c r="O10" s="46"/>
      <c r="P10" s="49" t="str">
        <f>INDEX(D:D,COUNT(J:J)+3)</f>
        <v>100 Peachtree Street</v>
      </c>
      <c r="Q10" s="50"/>
      <c r="R10" s="50"/>
      <c r="S10" s="50"/>
      <c r="T10" s="50"/>
      <c r="U10" s="51"/>
      <c r="V10" s="46"/>
      <c r="W10" s="52" t="s">
        <v>44</v>
      </c>
      <c r="X10" s="46"/>
      <c r="Y10" s="49" t="str">
        <f>TEXT(INDEX(G:G,COUNT(J:J)+3),0)</f>
        <v>30092</v>
      </c>
      <c r="Z10" s="50"/>
      <c r="AA10" s="50"/>
      <c r="AB10" s="50"/>
      <c r="AC10" s="50"/>
      <c r="AD10" s="51"/>
      <c r="AE10" s="47"/>
      <c r="AF10" s="23"/>
      <c r="AG10" s="23"/>
    </row>
    <row r="11" spans="1:33" x14ac:dyDescent="0.25">
      <c r="A11" s="32">
        <v>8</v>
      </c>
      <c r="B11" s="39"/>
      <c r="C11" s="39"/>
      <c r="D11" s="39"/>
      <c r="E11" s="39"/>
      <c r="F11" s="39"/>
      <c r="G11" s="39"/>
      <c r="H11" s="39"/>
      <c r="I11" s="40"/>
      <c r="J11" s="39"/>
      <c r="K11" s="23"/>
      <c r="L11" s="45"/>
      <c r="M11" s="46"/>
      <c r="N11" s="46"/>
      <c r="O11" s="46"/>
      <c r="P11" s="46"/>
      <c r="Q11" s="46"/>
      <c r="R11" s="46"/>
      <c r="S11" s="46"/>
      <c r="T11" s="46"/>
      <c r="U11" s="46"/>
      <c r="V11" s="46"/>
      <c r="W11" s="46"/>
      <c r="X11" s="46"/>
      <c r="Y11" s="46"/>
      <c r="Z11" s="46"/>
      <c r="AA11" s="46"/>
      <c r="AB11" s="46"/>
      <c r="AC11" s="46"/>
      <c r="AD11" s="46"/>
      <c r="AE11" s="47"/>
      <c r="AF11" s="23"/>
      <c r="AG11" s="23"/>
    </row>
    <row r="12" spans="1:33" x14ac:dyDescent="0.25">
      <c r="A12" s="32">
        <v>9</v>
      </c>
      <c r="B12" s="39"/>
      <c r="C12" s="39"/>
      <c r="D12" s="39"/>
      <c r="E12" s="39"/>
      <c r="F12" s="39"/>
      <c r="G12" s="39"/>
      <c r="H12" s="39"/>
      <c r="I12" s="40"/>
      <c r="J12" s="39"/>
      <c r="K12" s="23"/>
      <c r="L12" s="45"/>
      <c r="M12" s="52" t="s">
        <v>45</v>
      </c>
      <c r="N12" s="46"/>
      <c r="O12" s="46"/>
      <c r="P12" s="49" t="str">
        <f>INDEX(H:H,COUNT(J:J)+3)</f>
        <v>770.842.5902</v>
      </c>
      <c r="Q12" s="50"/>
      <c r="R12" s="50"/>
      <c r="S12" s="50"/>
      <c r="T12" s="50"/>
      <c r="U12" s="51"/>
      <c r="V12" s="46"/>
      <c r="W12" s="60" t="s">
        <v>99</v>
      </c>
      <c r="X12" s="46"/>
      <c r="Y12" s="49" t="str">
        <f>INDEX(I:I,COUNT(J:J)+3)</f>
        <v>Plan A</v>
      </c>
      <c r="Z12" s="50"/>
      <c r="AA12" s="50"/>
      <c r="AB12" s="50"/>
      <c r="AC12" s="50"/>
      <c r="AD12" s="51"/>
      <c r="AE12" s="47"/>
      <c r="AF12" s="23"/>
      <c r="AG12" s="23"/>
    </row>
    <row r="13" spans="1:33" x14ac:dyDescent="0.25">
      <c r="A13" s="32">
        <v>10</v>
      </c>
      <c r="B13" s="39"/>
      <c r="C13" s="39"/>
      <c r="D13" s="39"/>
      <c r="E13" s="39"/>
      <c r="F13" s="39"/>
      <c r="G13" s="39"/>
      <c r="H13" s="39"/>
      <c r="I13" s="40"/>
      <c r="J13" s="39"/>
      <c r="K13" s="23"/>
      <c r="L13" s="45"/>
      <c r="M13" s="46"/>
      <c r="N13" s="46"/>
      <c r="O13" s="46"/>
      <c r="P13" s="46"/>
      <c r="Q13" s="46"/>
      <c r="R13" s="46"/>
      <c r="S13" s="46"/>
      <c r="T13" s="46"/>
      <c r="U13" s="46"/>
      <c r="V13" s="46"/>
      <c r="W13" s="46"/>
      <c r="X13" s="46"/>
      <c r="Y13" s="46"/>
      <c r="Z13" s="46"/>
      <c r="AA13" s="46"/>
      <c r="AB13" s="46"/>
      <c r="AC13" s="46"/>
      <c r="AD13" s="46"/>
      <c r="AE13" s="47"/>
      <c r="AF13" s="23"/>
      <c r="AG13" s="23"/>
    </row>
    <row r="14" spans="1:33" x14ac:dyDescent="0.25">
      <c r="A14" s="32">
        <v>11</v>
      </c>
      <c r="B14" s="39"/>
      <c r="C14" s="39"/>
      <c r="D14" s="39"/>
      <c r="E14" s="39"/>
      <c r="F14" s="39"/>
      <c r="G14" s="39"/>
      <c r="H14" s="39"/>
      <c r="I14" s="40"/>
      <c r="J14" s="39"/>
      <c r="K14" s="23"/>
      <c r="L14" s="45"/>
      <c r="M14" s="52" t="s">
        <v>90</v>
      </c>
      <c r="N14" s="46"/>
      <c r="O14" s="46"/>
      <c r="P14" s="46"/>
      <c r="Q14" s="46"/>
      <c r="R14" s="46"/>
      <c r="S14" s="46"/>
      <c r="T14" s="46"/>
      <c r="U14" s="46"/>
      <c r="V14" s="46"/>
      <c r="W14" s="46"/>
      <c r="X14" s="46"/>
      <c r="Y14" s="49" t="str">
        <f>TEXT(INDEX(J:J,COUNT(J:J)+3),"$#,###.##")</f>
        <v>$124,533.45</v>
      </c>
      <c r="Z14" s="50"/>
      <c r="AA14" s="50"/>
      <c r="AB14" s="50"/>
      <c r="AC14" s="50"/>
      <c r="AD14" s="51"/>
      <c r="AE14" s="47"/>
      <c r="AF14" s="23"/>
      <c r="AG14" s="23"/>
    </row>
    <row r="15" spans="1:33" x14ac:dyDescent="0.25">
      <c r="A15" s="32">
        <v>12</v>
      </c>
      <c r="B15" s="39"/>
      <c r="C15" s="39"/>
      <c r="D15" s="39"/>
      <c r="E15" s="39"/>
      <c r="F15" s="39"/>
      <c r="G15" s="39"/>
      <c r="H15" s="39"/>
      <c r="I15" s="40"/>
      <c r="J15" s="39"/>
      <c r="K15" s="23"/>
      <c r="L15" s="45"/>
      <c r="M15" s="46"/>
      <c r="N15" s="46"/>
      <c r="O15" s="46"/>
      <c r="P15" s="46"/>
      <c r="Q15" s="46"/>
      <c r="R15" s="46"/>
      <c r="S15" s="46"/>
      <c r="T15" s="46"/>
      <c r="U15" s="46"/>
      <c r="V15" s="46"/>
      <c r="W15" s="46"/>
      <c r="X15" s="46"/>
      <c r="Y15" s="46"/>
      <c r="Z15" s="46"/>
      <c r="AA15" s="46"/>
      <c r="AB15" s="46"/>
      <c r="AC15" s="46"/>
      <c r="AD15" s="46"/>
      <c r="AE15" s="47"/>
      <c r="AF15" s="23"/>
      <c r="AG15" s="23"/>
    </row>
    <row r="16" spans="1:33" x14ac:dyDescent="0.25">
      <c r="A16" s="32">
        <v>13</v>
      </c>
      <c r="B16" s="39"/>
      <c r="C16" s="39"/>
      <c r="D16" s="39"/>
      <c r="E16" s="39"/>
      <c r="F16" s="39"/>
      <c r="G16" s="39"/>
      <c r="H16" s="39"/>
      <c r="I16" s="40"/>
      <c r="J16" s="39"/>
      <c r="K16" s="23"/>
      <c r="L16" s="303" t="s">
        <v>91</v>
      </c>
      <c r="M16" s="304"/>
      <c r="N16" s="304"/>
      <c r="O16" s="304"/>
      <c r="P16" s="304"/>
      <c r="Q16" s="304"/>
      <c r="R16" s="304"/>
      <c r="S16" s="304"/>
      <c r="T16" s="304"/>
      <c r="U16" s="304"/>
      <c r="V16" s="304"/>
      <c r="W16" s="304"/>
      <c r="X16" s="304"/>
      <c r="Y16" s="304"/>
      <c r="Z16" s="304"/>
      <c r="AA16" s="304"/>
      <c r="AB16" s="304"/>
      <c r="AC16" s="304"/>
      <c r="AD16" s="304"/>
      <c r="AE16" s="305"/>
      <c r="AF16" s="23"/>
      <c r="AG16" s="23"/>
    </row>
    <row r="17" spans="1:33" ht="16.5" thickBot="1" x14ac:dyDescent="0.3">
      <c r="A17" s="32">
        <v>14</v>
      </c>
      <c r="B17" s="39"/>
      <c r="C17" s="39"/>
      <c r="D17" s="39"/>
      <c r="E17" s="39"/>
      <c r="F17" s="39"/>
      <c r="G17" s="39"/>
      <c r="H17" s="39"/>
      <c r="I17" s="40"/>
      <c r="J17" s="39"/>
      <c r="K17" s="23"/>
      <c r="L17" s="61"/>
      <c r="M17" s="62"/>
      <c r="N17" s="62"/>
      <c r="O17" s="62"/>
      <c r="P17" s="62"/>
      <c r="Q17" s="62"/>
      <c r="R17" s="62"/>
      <c r="S17" s="62"/>
      <c r="T17" s="62"/>
      <c r="U17" s="62"/>
      <c r="V17" s="62"/>
      <c r="W17" s="62"/>
      <c r="X17" s="62"/>
      <c r="Y17" s="62"/>
      <c r="Z17" s="62"/>
      <c r="AA17" s="62"/>
      <c r="AB17" s="62"/>
      <c r="AC17" s="62"/>
      <c r="AD17" s="62"/>
      <c r="AE17" s="63"/>
      <c r="AF17" s="23"/>
      <c r="AG17" s="23"/>
    </row>
    <row r="18" spans="1:33" x14ac:dyDescent="0.25">
      <c r="A18" s="32">
        <v>15</v>
      </c>
      <c r="B18" s="39"/>
      <c r="C18" s="39"/>
      <c r="D18" s="39"/>
      <c r="E18" s="39"/>
      <c r="F18" s="39"/>
      <c r="G18" s="39"/>
      <c r="H18" s="39"/>
      <c r="I18" s="40"/>
      <c r="J18" s="39"/>
      <c r="K18" s="23"/>
      <c r="L18" s="23"/>
      <c r="M18" s="23"/>
      <c r="N18" s="23"/>
      <c r="O18" s="23"/>
      <c r="P18" s="23"/>
      <c r="Q18" s="23"/>
      <c r="R18" s="23"/>
      <c r="S18" s="23"/>
      <c r="T18" s="23"/>
      <c r="U18" s="23"/>
      <c r="V18" s="23"/>
      <c r="W18" s="23"/>
      <c r="X18" s="23"/>
      <c r="Y18" s="23"/>
      <c r="Z18" s="23"/>
      <c r="AA18" s="23"/>
      <c r="AB18" s="23"/>
      <c r="AC18" s="23"/>
      <c r="AD18" s="23"/>
      <c r="AE18" s="23"/>
      <c r="AF18" s="23"/>
      <c r="AG18" s="23"/>
    </row>
    <row r="19" spans="1:33" x14ac:dyDescent="0.25">
      <c r="A19" s="32">
        <v>16</v>
      </c>
      <c r="B19" s="39"/>
      <c r="C19" s="39"/>
      <c r="D19" s="39"/>
      <c r="E19" s="39"/>
      <c r="F19" s="39"/>
      <c r="G19" s="39"/>
      <c r="H19" s="39"/>
      <c r="I19" s="40"/>
      <c r="J19" s="39"/>
      <c r="K19" s="23"/>
      <c r="L19" s="23"/>
      <c r="M19" s="23"/>
      <c r="N19" s="23"/>
      <c r="O19" s="23"/>
      <c r="P19" s="23"/>
      <c r="Q19" s="23"/>
      <c r="R19" s="23"/>
      <c r="S19" s="23"/>
      <c r="T19" s="23"/>
      <c r="U19" s="23"/>
      <c r="V19" s="23"/>
      <c r="W19" s="23"/>
      <c r="X19" s="23"/>
      <c r="Y19" s="23"/>
      <c r="Z19" s="23"/>
      <c r="AA19" s="23"/>
      <c r="AB19" s="23"/>
      <c r="AC19" s="23"/>
      <c r="AD19" s="23"/>
      <c r="AE19" s="23"/>
      <c r="AF19" s="23"/>
      <c r="AG19" s="23"/>
    </row>
    <row r="20" spans="1:33" x14ac:dyDescent="0.25">
      <c r="A20" s="32">
        <v>17</v>
      </c>
      <c r="B20" s="39"/>
      <c r="C20" s="39"/>
      <c r="D20" s="39"/>
      <c r="E20" s="39"/>
      <c r="F20" s="39"/>
      <c r="G20" s="39"/>
      <c r="H20" s="39"/>
      <c r="I20" s="40"/>
      <c r="J20" s="39"/>
      <c r="K20" s="23"/>
      <c r="L20" s="23"/>
      <c r="M20" s="23"/>
      <c r="N20" s="23"/>
      <c r="O20" s="23"/>
      <c r="P20" s="23"/>
      <c r="Q20" s="23"/>
      <c r="R20" s="23"/>
      <c r="S20" s="23"/>
      <c r="T20" s="23"/>
      <c r="U20" s="23"/>
      <c r="V20" s="23"/>
      <c r="W20" s="23"/>
      <c r="X20" s="23"/>
      <c r="Y20" s="23"/>
      <c r="Z20" s="23"/>
      <c r="AA20" s="23"/>
      <c r="AB20" s="23"/>
      <c r="AC20" s="23"/>
      <c r="AD20" s="23"/>
      <c r="AE20" s="23"/>
      <c r="AF20" s="23"/>
      <c r="AG20" s="23"/>
    </row>
    <row r="21" spans="1:33" x14ac:dyDescent="0.25">
      <c r="A21" s="32">
        <v>18</v>
      </c>
      <c r="B21" s="39"/>
      <c r="C21" s="39"/>
      <c r="D21" s="39"/>
      <c r="E21" s="39"/>
      <c r="F21" s="39"/>
      <c r="G21" s="39"/>
      <c r="H21" s="39"/>
      <c r="I21" s="40"/>
      <c r="J21" s="39"/>
      <c r="K21" s="23"/>
      <c r="L21" s="23"/>
      <c r="M21" s="23"/>
      <c r="N21" s="23"/>
      <c r="O21" s="23"/>
      <c r="P21" s="23"/>
      <c r="Q21" s="23"/>
      <c r="R21" s="23"/>
      <c r="S21" s="23"/>
      <c r="T21" s="23"/>
      <c r="U21" s="23"/>
      <c r="V21" s="23"/>
      <c r="W21" s="23"/>
      <c r="X21" s="23"/>
      <c r="Y21" s="23"/>
      <c r="Z21" s="23"/>
      <c r="AA21" s="23"/>
      <c r="AB21" s="23"/>
      <c r="AC21" s="23"/>
      <c r="AD21" s="23"/>
      <c r="AE21" s="23"/>
      <c r="AF21" s="23"/>
      <c r="AG21" s="23"/>
    </row>
    <row r="22" spans="1:33" x14ac:dyDescent="0.25">
      <c r="A22" s="32">
        <v>19</v>
      </c>
      <c r="B22" s="39"/>
      <c r="C22" s="39"/>
      <c r="D22" s="39"/>
      <c r="E22" s="39"/>
      <c r="F22" s="39"/>
      <c r="G22" s="39"/>
      <c r="H22" s="39"/>
      <c r="I22" s="40"/>
      <c r="J22" s="39"/>
      <c r="K22" s="23"/>
      <c r="L22" s="23"/>
      <c r="M22" s="23"/>
      <c r="N22" s="23"/>
      <c r="O22" s="23"/>
      <c r="P22" s="23"/>
      <c r="Q22" s="23"/>
      <c r="R22" s="23"/>
      <c r="S22" s="23"/>
      <c r="T22" s="23"/>
      <c r="U22" s="23"/>
      <c r="V22" s="23"/>
      <c r="W22" s="23"/>
      <c r="X22" s="23"/>
      <c r="Y22" s="23"/>
      <c r="Z22" s="23"/>
      <c r="AA22" s="23"/>
      <c r="AB22" s="23"/>
      <c r="AC22" s="23"/>
      <c r="AD22" s="23"/>
      <c r="AE22" s="23"/>
      <c r="AF22" s="23"/>
      <c r="AG22" s="23"/>
    </row>
    <row r="23" spans="1:33" x14ac:dyDescent="0.25">
      <c r="A23" s="32">
        <v>20</v>
      </c>
      <c r="B23" s="39"/>
      <c r="C23" s="39"/>
      <c r="D23" s="39"/>
      <c r="E23" s="39"/>
      <c r="F23" s="39"/>
      <c r="G23" s="39"/>
      <c r="H23" s="39"/>
      <c r="I23" s="40"/>
      <c r="J23" s="39"/>
      <c r="K23" s="23"/>
      <c r="L23" s="23"/>
      <c r="M23" s="23"/>
      <c r="N23" s="23"/>
      <c r="O23" s="23"/>
      <c r="P23" s="23"/>
      <c r="Q23" s="23"/>
      <c r="R23" s="23"/>
      <c r="S23" s="23"/>
      <c r="T23" s="23"/>
      <c r="U23" s="23"/>
      <c r="V23" s="23"/>
      <c r="W23" s="23"/>
      <c r="X23" s="23"/>
      <c r="Y23" s="23"/>
      <c r="Z23" s="23"/>
      <c r="AA23" s="23"/>
      <c r="AB23" s="23"/>
      <c r="AC23" s="23"/>
      <c r="AD23" s="23"/>
      <c r="AE23" s="23"/>
      <c r="AF23" s="23"/>
      <c r="AG23" s="23"/>
    </row>
    <row r="24" spans="1:33" x14ac:dyDescent="0.25">
      <c r="A24" s="32">
        <v>21</v>
      </c>
      <c r="B24" s="39"/>
      <c r="C24" s="39"/>
      <c r="D24" s="39"/>
      <c r="E24" s="39"/>
      <c r="F24" s="39"/>
      <c r="G24" s="39"/>
      <c r="H24" s="39"/>
      <c r="I24" s="40"/>
      <c r="J24" s="39"/>
      <c r="K24" s="23"/>
      <c r="L24" s="23"/>
      <c r="M24" s="23"/>
      <c r="N24" s="23"/>
      <c r="O24" s="23"/>
      <c r="P24" s="23"/>
      <c r="Q24" s="23"/>
      <c r="R24" s="23"/>
      <c r="S24" s="23"/>
      <c r="T24" s="23"/>
      <c r="U24" s="23"/>
      <c r="V24" s="23"/>
      <c r="W24" s="23"/>
      <c r="X24" s="23"/>
      <c r="Y24" s="23"/>
      <c r="Z24" s="23"/>
      <c r="AA24" s="23"/>
      <c r="AB24" s="23"/>
      <c r="AC24" s="23"/>
      <c r="AD24" s="23"/>
      <c r="AE24" s="23"/>
      <c r="AF24" s="23"/>
      <c r="AG24" s="23"/>
    </row>
    <row r="25" spans="1:33" x14ac:dyDescent="0.25">
      <c r="A25" s="32">
        <v>22</v>
      </c>
      <c r="B25" s="39"/>
      <c r="C25" s="39"/>
      <c r="D25" s="39"/>
      <c r="E25" s="39"/>
      <c r="F25" s="39"/>
      <c r="G25" s="39"/>
      <c r="H25" s="39"/>
      <c r="I25" s="40"/>
      <c r="J25" s="39"/>
      <c r="K25" s="23"/>
      <c r="L25" s="23"/>
      <c r="M25" s="23"/>
      <c r="N25" s="23"/>
      <c r="O25" s="23"/>
      <c r="P25" s="23"/>
      <c r="Q25" s="23"/>
      <c r="R25" s="23"/>
      <c r="S25" s="23"/>
      <c r="T25" s="23"/>
      <c r="U25" s="23"/>
      <c r="V25" s="23"/>
      <c r="W25" s="23"/>
      <c r="X25" s="23"/>
      <c r="Y25" s="23"/>
      <c r="Z25" s="23"/>
      <c r="AA25" s="23"/>
      <c r="AB25" s="23"/>
      <c r="AC25" s="23"/>
      <c r="AD25" s="23"/>
      <c r="AE25" s="23"/>
      <c r="AF25" s="23"/>
      <c r="AG25" s="23"/>
    </row>
    <row r="26" spans="1:33" x14ac:dyDescent="0.25">
      <c r="A26" s="32">
        <v>23</v>
      </c>
      <c r="B26" s="39"/>
      <c r="C26" s="39"/>
      <c r="D26" s="39"/>
      <c r="E26" s="39"/>
      <c r="F26" s="39"/>
      <c r="G26" s="39"/>
      <c r="H26" s="39"/>
      <c r="I26" s="40"/>
      <c r="J26" s="39"/>
      <c r="K26" s="23"/>
      <c r="L26" s="23"/>
      <c r="M26" s="23"/>
      <c r="N26" s="23"/>
      <c r="O26" s="23"/>
      <c r="P26" s="23"/>
      <c r="Q26" s="23"/>
      <c r="R26" s="23"/>
      <c r="S26" s="23"/>
      <c r="T26" s="23"/>
      <c r="U26" s="23"/>
      <c r="V26" s="23"/>
      <c r="W26" s="23"/>
      <c r="X26" s="23"/>
      <c r="Y26" s="23"/>
      <c r="Z26" s="23"/>
      <c r="AA26" s="23"/>
      <c r="AB26" s="23"/>
      <c r="AC26" s="23"/>
      <c r="AD26" s="23"/>
      <c r="AE26" s="23"/>
      <c r="AF26" s="23"/>
      <c r="AG26" s="23"/>
    </row>
    <row r="27" spans="1:33" x14ac:dyDescent="0.25">
      <c r="A27" s="32">
        <v>24</v>
      </c>
      <c r="B27" s="39"/>
      <c r="C27" s="39"/>
      <c r="D27" s="39"/>
      <c r="E27" s="39"/>
      <c r="F27" s="39"/>
      <c r="G27" s="39"/>
      <c r="H27" s="39"/>
      <c r="I27" s="40"/>
      <c r="J27" s="39"/>
      <c r="K27" s="23"/>
      <c r="L27" s="23"/>
      <c r="M27" s="23"/>
      <c r="N27" s="23"/>
      <c r="O27" s="23"/>
      <c r="P27" s="23"/>
      <c r="Q27" s="23"/>
      <c r="R27" s="23"/>
      <c r="S27" s="23"/>
      <c r="T27" s="23"/>
      <c r="U27" s="23"/>
      <c r="V27" s="23"/>
      <c r="W27" s="23"/>
      <c r="X27" s="23"/>
      <c r="Y27" s="23"/>
      <c r="Z27" s="23"/>
      <c r="AA27" s="23"/>
      <c r="AB27" s="23"/>
      <c r="AC27" s="23"/>
      <c r="AD27" s="23"/>
      <c r="AE27" s="23"/>
      <c r="AF27" s="23"/>
      <c r="AG27" s="23"/>
    </row>
    <row r="28" spans="1:33" x14ac:dyDescent="0.25">
      <c r="A28" s="32">
        <v>25</v>
      </c>
      <c r="B28" s="39"/>
      <c r="C28" s="39"/>
      <c r="D28" s="39"/>
      <c r="E28" s="39"/>
      <c r="F28" s="39"/>
      <c r="G28" s="39"/>
      <c r="H28" s="39"/>
      <c r="I28" s="40"/>
      <c r="J28" s="39"/>
      <c r="K28" s="23"/>
      <c r="L28" s="23"/>
      <c r="M28" s="23"/>
      <c r="N28" s="23"/>
      <c r="O28" s="23"/>
      <c r="P28" s="23"/>
      <c r="Q28" s="23"/>
      <c r="R28" s="23"/>
      <c r="S28" s="23"/>
      <c r="T28" s="23"/>
      <c r="U28" s="23"/>
      <c r="V28" s="23"/>
      <c r="W28" s="23"/>
      <c r="X28" s="23"/>
      <c r="Y28" s="23"/>
      <c r="Z28" s="23"/>
      <c r="AA28" s="23"/>
      <c r="AB28" s="23"/>
      <c r="AC28" s="23"/>
      <c r="AD28" s="23"/>
      <c r="AE28" s="23"/>
      <c r="AF28" s="23"/>
      <c r="AG28" s="23"/>
    </row>
    <row r="29" spans="1:33" ht="16.5" x14ac:dyDescent="0.3">
      <c r="A29" s="32">
        <v>26</v>
      </c>
      <c r="B29" s="39"/>
      <c r="C29" s="39"/>
      <c r="D29" s="39"/>
      <c r="E29" s="39"/>
      <c r="F29" s="39"/>
      <c r="G29" s="39"/>
      <c r="H29" s="39"/>
      <c r="I29" s="40"/>
      <c r="J29" s="39"/>
      <c r="K29" s="23"/>
      <c r="L29" s="23"/>
      <c r="M29" s="23"/>
      <c r="N29" s="23"/>
      <c r="O29" s="23"/>
      <c r="P29" s="123"/>
      <c r="Q29" s="23"/>
      <c r="R29" s="23"/>
      <c r="S29" s="23"/>
      <c r="T29" s="23"/>
      <c r="U29" s="23"/>
      <c r="V29" s="23"/>
      <c r="W29" s="23"/>
      <c r="X29" s="23"/>
      <c r="Y29" s="23"/>
      <c r="Z29" s="23"/>
      <c r="AA29" s="23"/>
      <c r="AB29" s="23"/>
      <c r="AC29" s="23"/>
      <c r="AD29" s="23"/>
      <c r="AE29" s="23"/>
      <c r="AF29" s="23"/>
      <c r="AG29" s="23"/>
    </row>
    <row r="30" spans="1:33" x14ac:dyDescent="0.25">
      <c r="A30" s="32">
        <v>27</v>
      </c>
      <c r="B30" s="39"/>
      <c r="C30" s="39"/>
      <c r="D30" s="39"/>
      <c r="E30" s="39"/>
      <c r="F30" s="39"/>
      <c r="G30" s="39"/>
      <c r="H30" s="39"/>
      <c r="I30" s="40"/>
      <c r="J30" s="39"/>
      <c r="K30" s="23"/>
      <c r="L30" s="23"/>
      <c r="M30" s="23"/>
      <c r="N30" s="23"/>
      <c r="O30" s="23"/>
      <c r="P30" s="23"/>
      <c r="Q30" s="23"/>
      <c r="R30" s="23"/>
      <c r="S30" s="23"/>
      <c r="T30" s="23"/>
      <c r="U30" s="23"/>
      <c r="V30" s="23"/>
      <c r="W30" s="23"/>
      <c r="X30" s="23"/>
      <c r="Y30" s="23"/>
      <c r="Z30" s="23"/>
      <c r="AA30" s="23"/>
      <c r="AB30" s="23"/>
      <c r="AC30" s="23"/>
      <c r="AD30" s="23"/>
      <c r="AE30" s="23"/>
      <c r="AF30" s="23"/>
      <c r="AG30" s="23"/>
    </row>
  </sheetData>
  <mergeCells count="2">
    <mergeCell ref="L4:AE4"/>
    <mergeCell ref="L16:AE16"/>
  </mergeCell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AG30"/>
  <sheetViews>
    <sheetView showGridLines="0" workbookViewId="0">
      <selection activeCell="Q1" sqref="Q1"/>
    </sheetView>
  </sheetViews>
  <sheetFormatPr defaultRowHeight="15.75" x14ac:dyDescent="0.25"/>
  <cols>
    <col min="1" max="1" width="7.875" bestFit="1" customWidth="1"/>
    <col min="2" max="3" width="10" bestFit="1" customWidth="1"/>
    <col min="4" max="4" width="19" bestFit="1" customWidth="1"/>
    <col min="5" max="5" width="8.375" bestFit="1" customWidth="1"/>
    <col min="6" max="6" width="5.375" bestFit="1" customWidth="1"/>
    <col min="7" max="7" width="5.875" bestFit="1" customWidth="1"/>
    <col min="8" max="8" width="11.875" bestFit="1" customWidth="1"/>
    <col min="9" max="9" width="11.875" customWidth="1"/>
    <col min="10" max="10" width="12.125" bestFit="1" customWidth="1"/>
    <col min="11" max="11" width="3.75" customWidth="1"/>
    <col min="12" max="31" width="3.625" customWidth="1"/>
    <col min="32" max="32" width="3" customWidth="1"/>
  </cols>
  <sheetData>
    <row r="1" spans="1:33" x14ac:dyDescent="0.25">
      <c r="A1" s="73"/>
      <c r="B1" s="20"/>
      <c r="C1" s="20"/>
      <c r="D1" s="20"/>
      <c r="E1" s="20"/>
      <c r="F1" s="20"/>
      <c r="G1" s="20"/>
      <c r="H1" s="20"/>
      <c r="I1" s="22"/>
      <c r="J1" s="20"/>
      <c r="K1" s="23"/>
      <c r="L1" s="23"/>
      <c r="M1" s="23"/>
      <c r="N1" s="23"/>
      <c r="O1" s="23"/>
      <c r="P1" s="23"/>
      <c r="Q1" s="23"/>
      <c r="R1" s="23"/>
      <c r="S1" s="23"/>
      <c r="T1" s="23"/>
      <c r="U1" s="23"/>
      <c r="V1" s="23"/>
      <c r="W1" s="23"/>
      <c r="X1" s="23"/>
      <c r="Y1" s="23"/>
      <c r="Z1" s="23"/>
      <c r="AA1" s="23"/>
      <c r="AB1" s="23"/>
      <c r="AC1" s="23"/>
      <c r="AD1" s="23"/>
      <c r="AE1" s="23"/>
      <c r="AF1" s="23"/>
      <c r="AG1" s="23"/>
    </row>
    <row r="2" spans="1:33" x14ac:dyDescent="0.25">
      <c r="A2" s="73"/>
      <c r="B2" s="20"/>
      <c r="C2" s="20"/>
      <c r="D2" s="20"/>
      <c r="E2" s="20"/>
      <c r="F2" s="20"/>
      <c r="G2" s="20"/>
      <c r="H2" s="20"/>
      <c r="I2" s="22"/>
      <c r="J2" s="20"/>
      <c r="K2" s="23"/>
      <c r="L2" s="23"/>
      <c r="M2" s="23"/>
      <c r="N2" s="23"/>
      <c r="O2" s="23"/>
      <c r="P2" s="23"/>
      <c r="Q2" s="23"/>
      <c r="R2" s="23"/>
      <c r="S2" s="23"/>
      <c r="T2" s="23"/>
      <c r="U2" s="23"/>
      <c r="V2" s="23"/>
      <c r="W2" s="23"/>
      <c r="X2" s="23"/>
      <c r="Y2" s="23"/>
      <c r="Z2" s="23"/>
      <c r="AA2" s="23"/>
      <c r="AB2" s="23"/>
      <c r="AC2" s="23"/>
      <c r="AD2" s="23"/>
      <c r="AE2" s="23"/>
      <c r="AF2" s="23"/>
      <c r="AG2" s="23"/>
    </row>
    <row r="3" spans="1:33" x14ac:dyDescent="0.25">
      <c r="A3" s="16"/>
      <c r="B3" s="16"/>
      <c r="C3" s="16"/>
      <c r="D3" s="16"/>
      <c r="E3" s="16"/>
      <c r="F3" s="16"/>
      <c r="G3" s="16"/>
      <c r="H3" s="16"/>
      <c r="I3" s="16"/>
      <c r="J3" s="16"/>
      <c r="K3" s="16"/>
      <c r="L3" s="16"/>
      <c r="M3" s="16"/>
      <c r="N3" s="16"/>
      <c r="O3" s="16"/>
      <c r="P3" s="16"/>
      <c r="Q3" s="16"/>
      <c r="R3" s="16"/>
      <c r="S3" s="17">
        <f t="shared" ref="S3:AB3" si="0">VLOOKUP(MAX($A$5:$A$149),$A$5:$H$149,2)</f>
        <v>0</v>
      </c>
      <c r="T3" s="17">
        <f t="shared" si="0"/>
        <v>0</v>
      </c>
      <c r="U3" s="17">
        <f t="shared" si="0"/>
        <v>0</v>
      </c>
      <c r="V3" s="17">
        <f t="shared" si="0"/>
        <v>0</v>
      </c>
      <c r="W3" s="17">
        <f t="shared" si="0"/>
        <v>0</v>
      </c>
      <c r="X3" s="17">
        <f t="shared" si="0"/>
        <v>0</v>
      </c>
      <c r="Y3" s="17">
        <f t="shared" si="0"/>
        <v>0</v>
      </c>
      <c r="Z3" s="17">
        <f t="shared" si="0"/>
        <v>0</v>
      </c>
      <c r="AA3" s="17">
        <f t="shared" si="0"/>
        <v>0</v>
      </c>
      <c r="AB3" s="17">
        <f t="shared" si="0"/>
        <v>0</v>
      </c>
      <c r="AC3" s="18"/>
      <c r="AD3" s="18"/>
      <c r="AE3" s="18"/>
      <c r="AF3" s="18"/>
      <c r="AG3" s="18"/>
    </row>
    <row r="4" spans="1:33" ht="16.5" thickBot="1" x14ac:dyDescent="0.3">
      <c r="A4" s="73"/>
      <c r="B4" s="20"/>
      <c r="C4" s="20"/>
      <c r="D4" s="20"/>
      <c r="E4" s="20"/>
      <c r="F4" s="20"/>
      <c r="G4" s="20"/>
      <c r="H4" s="20"/>
      <c r="I4" s="22"/>
      <c r="J4" s="20"/>
      <c r="K4" s="23"/>
      <c r="L4" s="23"/>
      <c r="M4" s="23"/>
      <c r="N4" s="23"/>
      <c r="O4" s="23"/>
      <c r="P4" s="23"/>
      <c r="Q4" s="23"/>
      <c r="R4" s="23"/>
      <c r="S4" s="23"/>
      <c r="T4" s="23"/>
      <c r="U4" s="23"/>
      <c r="V4" s="23"/>
      <c r="W4" s="23"/>
      <c r="X4" s="23"/>
      <c r="Y4" s="23"/>
      <c r="Z4" s="23"/>
      <c r="AA4" s="23"/>
      <c r="AB4" s="23"/>
      <c r="AC4" s="23"/>
      <c r="AD4" s="23"/>
      <c r="AE4" s="23"/>
      <c r="AF4" s="23"/>
      <c r="AG4" s="23"/>
    </row>
    <row r="5" spans="1:33" x14ac:dyDescent="0.25">
      <c r="A5" s="68" t="s">
        <v>38</v>
      </c>
      <c r="B5" s="69" t="s">
        <v>39</v>
      </c>
      <c r="C5" s="69" t="s">
        <v>40</v>
      </c>
      <c r="D5" s="69" t="s">
        <v>41</v>
      </c>
      <c r="E5" s="68" t="s">
        <v>42</v>
      </c>
      <c r="F5" s="68" t="s">
        <v>43</v>
      </c>
      <c r="G5" s="68" t="s">
        <v>44</v>
      </c>
      <c r="H5" s="68" t="s">
        <v>45</v>
      </c>
      <c r="I5" s="68" t="s">
        <v>46</v>
      </c>
      <c r="J5" s="68" t="s">
        <v>47</v>
      </c>
      <c r="K5" s="23"/>
      <c r="L5" s="29"/>
      <c r="M5" s="30"/>
      <c r="N5" s="30"/>
      <c r="O5" s="30"/>
      <c r="P5" s="30"/>
      <c r="Q5" s="30"/>
      <c r="R5" s="30"/>
      <c r="S5" s="30"/>
      <c r="T5" s="30"/>
      <c r="U5" s="30"/>
      <c r="V5" s="30"/>
      <c r="W5" s="30"/>
      <c r="X5" s="30"/>
      <c r="Y5" s="30"/>
      <c r="Z5" s="30"/>
      <c r="AA5" s="30"/>
      <c r="AB5" s="30"/>
      <c r="AC5" s="30"/>
      <c r="AD5" s="30"/>
      <c r="AE5" s="31"/>
      <c r="AF5" s="23"/>
      <c r="AG5" s="23"/>
    </row>
    <row r="6" spans="1:33" x14ac:dyDescent="0.25">
      <c r="A6" s="32">
        <v>1</v>
      </c>
      <c r="B6" s="33" t="s">
        <v>48</v>
      </c>
      <c r="C6" s="34" t="s">
        <v>49</v>
      </c>
      <c r="D6" s="34" t="s">
        <v>50</v>
      </c>
      <c r="E6" s="34" t="s">
        <v>51</v>
      </c>
      <c r="F6" s="35" t="s">
        <v>52</v>
      </c>
      <c r="G6" s="35">
        <v>30062</v>
      </c>
      <c r="H6" s="33" t="s">
        <v>53</v>
      </c>
      <c r="I6" s="37" t="s">
        <v>54</v>
      </c>
      <c r="J6" s="70">
        <v>157665</v>
      </c>
      <c r="K6" s="23"/>
      <c r="L6" s="300" t="s">
        <v>55</v>
      </c>
      <c r="M6" s="301"/>
      <c r="N6" s="301"/>
      <c r="O6" s="301"/>
      <c r="P6" s="301"/>
      <c r="Q6" s="301"/>
      <c r="R6" s="301"/>
      <c r="S6" s="301"/>
      <c r="T6" s="301"/>
      <c r="U6" s="301"/>
      <c r="V6" s="301"/>
      <c r="W6" s="301"/>
      <c r="X6" s="301"/>
      <c r="Y6" s="301"/>
      <c r="Z6" s="301"/>
      <c r="AA6" s="301"/>
      <c r="AB6" s="301"/>
      <c r="AC6" s="301"/>
      <c r="AD6" s="301"/>
      <c r="AE6" s="302"/>
      <c r="AF6" s="23"/>
      <c r="AG6" s="23"/>
    </row>
    <row r="7" spans="1:33" x14ac:dyDescent="0.25">
      <c r="A7" s="32">
        <v>2</v>
      </c>
      <c r="B7" s="39" t="s">
        <v>56</v>
      </c>
      <c r="C7" s="39" t="s">
        <v>57</v>
      </c>
      <c r="D7" s="39" t="s">
        <v>58</v>
      </c>
      <c r="E7" s="39" t="s">
        <v>51</v>
      </c>
      <c r="F7" s="40" t="s">
        <v>52</v>
      </c>
      <c r="G7" s="40">
        <v>30063</v>
      </c>
      <c r="H7" s="42" t="s">
        <v>59</v>
      </c>
      <c r="I7" s="43" t="s">
        <v>60</v>
      </c>
      <c r="J7" s="71">
        <v>156340</v>
      </c>
      <c r="K7" s="23"/>
      <c r="L7" s="45"/>
      <c r="M7" s="46"/>
      <c r="N7" s="46"/>
      <c r="O7" s="46"/>
      <c r="P7" s="46"/>
      <c r="Q7" s="46"/>
      <c r="R7" s="46"/>
      <c r="S7" s="46"/>
      <c r="T7" s="46"/>
      <c r="U7" s="46"/>
      <c r="V7" s="46"/>
      <c r="W7" s="46"/>
      <c r="X7" s="46"/>
      <c r="Y7" s="46"/>
      <c r="Z7" s="46"/>
      <c r="AA7" s="46"/>
      <c r="AB7" s="46"/>
      <c r="AC7" s="46"/>
      <c r="AD7" s="46"/>
      <c r="AE7" s="47"/>
      <c r="AF7" s="23"/>
      <c r="AG7" s="23"/>
    </row>
    <row r="8" spans="1:33" x14ac:dyDescent="0.25">
      <c r="A8" s="32">
        <v>3</v>
      </c>
      <c r="B8" s="39" t="s">
        <v>61</v>
      </c>
      <c r="C8" s="42" t="s">
        <v>62</v>
      </c>
      <c r="D8" s="39" t="s">
        <v>63</v>
      </c>
      <c r="E8" s="39" t="s">
        <v>51</v>
      </c>
      <c r="F8" s="40" t="s">
        <v>52</v>
      </c>
      <c r="G8" s="40">
        <v>30064</v>
      </c>
      <c r="H8" s="42" t="s">
        <v>64</v>
      </c>
      <c r="I8" s="43" t="s">
        <v>65</v>
      </c>
      <c r="J8" s="71">
        <v>81480</v>
      </c>
      <c r="K8" s="23"/>
      <c r="L8" s="45"/>
      <c r="M8" s="48" t="s">
        <v>39</v>
      </c>
      <c r="N8" s="46"/>
      <c r="O8" s="46"/>
      <c r="P8" s="76" t="str">
        <f ca="1">OFFSET(B5,COUNTA(B:B)-1,0,1,1)</f>
        <v>Lively</v>
      </c>
      <c r="Q8" s="50"/>
      <c r="R8" s="50"/>
      <c r="S8" s="50"/>
      <c r="T8" s="50"/>
      <c r="U8" s="51"/>
      <c r="V8" s="46"/>
      <c r="W8" s="52" t="s">
        <v>42</v>
      </c>
      <c r="X8" s="46"/>
      <c r="Y8" s="306" t="str">
        <f ca="1">OFFSET(E5,COUNTA(E:E)-1,0,1,1)</f>
        <v>Greenville</v>
      </c>
      <c r="Z8" s="314"/>
      <c r="AA8" s="50"/>
      <c r="AB8" s="50"/>
      <c r="AC8" s="50"/>
      <c r="AD8" s="51"/>
      <c r="AE8" s="47"/>
      <c r="AF8" s="23"/>
      <c r="AG8" s="23"/>
    </row>
    <row r="9" spans="1:33" x14ac:dyDescent="0.25">
      <c r="A9" s="32">
        <v>4</v>
      </c>
      <c r="B9" s="39" t="s">
        <v>66</v>
      </c>
      <c r="C9" s="42" t="s">
        <v>67</v>
      </c>
      <c r="D9" s="39" t="s">
        <v>68</v>
      </c>
      <c r="E9" s="39" t="s">
        <v>51</v>
      </c>
      <c r="F9" s="40" t="s">
        <v>52</v>
      </c>
      <c r="G9" s="40">
        <v>30065</v>
      </c>
      <c r="H9" s="42" t="s">
        <v>69</v>
      </c>
      <c r="I9" s="43" t="s">
        <v>54</v>
      </c>
      <c r="J9" s="71">
        <v>202578</v>
      </c>
      <c r="K9" s="23"/>
      <c r="L9" s="45"/>
      <c r="M9" s="46"/>
      <c r="N9" s="46"/>
      <c r="O9" s="46"/>
      <c r="P9" s="46"/>
      <c r="Q9" s="46"/>
      <c r="R9" s="46"/>
      <c r="S9" s="46"/>
      <c r="T9" s="46"/>
      <c r="U9" s="46"/>
      <c r="V9" s="46"/>
      <c r="W9" s="46"/>
      <c r="X9" s="46"/>
      <c r="Y9" s="46"/>
      <c r="Z9" s="46"/>
      <c r="AA9" s="46"/>
      <c r="AB9" s="46"/>
      <c r="AC9" s="46"/>
      <c r="AD9" s="46"/>
      <c r="AE9" s="47"/>
      <c r="AF9" s="23"/>
      <c r="AG9" s="23"/>
    </row>
    <row r="10" spans="1:33" x14ac:dyDescent="0.25">
      <c r="A10" s="32">
        <v>5</v>
      </c>
      <c r="B10" s="42" t="s">
        <v>70</v>
      </c>
      <c r="C10" s="39" t="s">
        <v>71</v>
      </c>
      <c r="D10" s="39" t="s">
        <v>72</v>
      </c>
      <c r="E10" s="39" t="s">
        <v>51</v>
      </c>
      <c r="F10" s="40" t="s">
        <v>52</v>
      </c>
      <c r="G10" s="40">
        <v>30066</v>
      </c>
      <c r="H10" s="42" t="s">
        <v>73</v>
      </c>
      <c r="I10" s="43" t="s">
        <v>60</v>
      </c>
      <c r="J10" s="71">
        <v>177209</v>
      </c>
      <c r="K10" s="23"/>
      <c r="L10" s="45"/>
      <c r="M10" s="48" t="s">
        <v>40</v>
      </c>
      <c r="N10" s="46"/>
      <c r="O10" s="46"/>
      <c r="P10" s="49" t="str">
        <f ca="1">OFFSET(C5,COUNTA(C:C)-1,0,1,1)</f>
        <v>Travis</v>
      </c>
      <c r="Q10" s="50"/>
      <c r="R10" s="50"/>
      <c r="S10" s="50"/>
      <c r="T10" s="50"/>
      <c r="U10" s="51"/>
      <c r="V10" s="46"/>
      <c r="W10" s="52" t="s">
        <v>43</v>
      </c>
      <c r="X10" s="46"/>
      <c r="Y10" s="306" t="str">
        <f ca="1">OFFSET(F5,COUNTA(F:F)-1,0,1,1)</f>
        <v>SC</v>
      </c>
      <c r="Z10" s="314"/>
      <c r="AA10" s="50"/>
      <c r="AB10" s="50"/>
      <c r="AC10" s="50"/>
      <c r="AD10" s="51"/>
      <c r="AE10" s="47"/>
      <c r="AF10" s="23"/>
      <c r="AG10" s="23"/>
    </row>
    <row r="11" spans="1:33" x14ac:dyDescent="0.25">
      <c r="A11" s="32">
        <v>6</v>
      </c>
      <c r="B11" s="39" t="s">
        <v>74</v>
      </c>
      <c r="C11" s="39" t="s">
        <v>75</v>
      </c>
      <c r="D11" s="39" t="s">
        <v>76</v>
      </c>
      <c r="E11" s="39" t="s">
        <v>77</v>
      </c>
      <c r="F11" s="40" t="s">
        <v>52</v>
      </c>
      <c r="G11" s="40">
        <v>30092</v>
      </c>
      <c r="H11" s="42" t="s">
        <v>78</v>
      </c>
      <c r="I11" s="43" t="s">
        <v>65</v>
      </c>
      <c r="J11" s="71">
        <v>212254.23</v>
      </c>
      <c r="K11" s="23"/>
      <c r="L11" s="45"/>
      <c r="M11" s="46"/>
      <c r="N11" s="46"/>
      <c r="O11" s="46"/>
      <c r="P11" s="46"/>
      <c r="Q11" s="46"/>
      <c r="R11" s="46"/>
      <c r="S11" s="46"/>
      <c r="T11" s="46"/>
      <c r="U11" s="46"/>
      <c r="V11" s="46"/>
      <c r="W11" s="46"/>
      <c r="X11" s="46"/>
      <c r="Y11" s="46"/>
      <c r="Z11" s="46"/>
      <c r="AA11" s="46"/>
      <c r="AB11" s="46"/>
      <c r="AC11" s="46"/>
      <c r="AD11" s="46"/>
      <c r="AE11" s="47"/>
      <c r="AF11" s="23"/>
      <c r="AG11" s="23"/>
    </row>
    <row r="12" spans="1:33" x14ac:dyDescent="0.25">
      <c r="A12" s="32">
        <v>7</v>
      </c>
      <c r="B12" s="39" t="s">
        <v>79</v>
      </c>
      <c r="C12" s="39" t="s">
        <v>80</v>
      </c>
      <c r="D12" s="39" t="s">
        <v>50</v>
      </c>
      <c r="E12" s="39" t="s">
        <v>81</v>
      </c>
      <c r="F12" s="40" t="s">
        <v>82</v>
      </c>
      <c r="G12" s="40">
        <v>30092</v>
      </c>
      <c r="H12" s="42" t="s">
        <v>53</v>
      </c>
      <c r="I12" s="43" t="s">
        <v>54</v>
      </c>
      <c r="J12" s="71">
        <v>124533.45</v>
      </c>
      <c r="K12" s="23"/>
      <c r="L12" s="45"/>
      <c r="M12" s="48" t="s">
        <v>41</v>
      </c>
      <c r="N12" s="46"/>
      <c r="O12" s="46"/>
      <c r="P12" s="49" t="str">
        <f ca="1">OFFSET(D5,COUNTA(D:D)-1,0,1,1)</f>
        <v>111 Test Street</v>
      </c>
      <c r="Q12" s="50"/>
      <c r="R12" s="50"/>
      <c r="S12" s="50"/>
      <c r="T12" s="50"/>
      <c r="U12" s="51"/>
      <c r="V12" s="46"/>
      <c r="W12" s="52" t="s">
        <v>44</v>
      </c>
      <c r="X12" s="46"/>
      <c r="Y12" s="306">
        <f ca="1">OFFSET(G5,COUNTA(G:G)-1,0,1,1)</f>
        <v>29607</v>
      </c>
      <c r="Z12" s="314"/>
      <c r="AA12" s="50"/>
      <c r="AB12" s="50"/>
      <c r="AC12" s="50"/>
      <c r="AD12" s="51"/>
      <c r="AE12" s="47"/>
      <c r="AF12" s="23"/>
      <c r="AG12" s="23"/>
    </row>
    <row r="13" spans="1:33" x14ac:dyDescent="0.25">
      <c r="A13" s="32">
        <v>8</v>
      </c>
      <c r="B13" s="33" t="s">
        <v>157</v>
      </c>
      <c r="C13" s="34" t="s">
        <v>158</v>
      </c>
      <c r="D13" s="34" t="s">
        <v>159</v>
      </c>
      <c r="E13" s="34" t="s">
        <v>160</v>
      </c>
      <c r="F13" s="35" t="s">
        <v>161</v>
      </c>
      <c r="G13" s="35">
        <v>29607</v>
      </c>
      <c r="H13" s="33" t="s">
        <v>162</v>
      </c>
      <c r="I13" s="37" t="s">
        <v>54</v>
      </c>
      <c r="J13" s="70">
        <v>100000</v>
      </c>
      <c r="K13" s="23"/>
      <c r="L13" s="45"/>
      <c r="M13" s="46"/>
      <c r="N13" s="46"/>
      <c r="O13" s="46"/>
      <c r="P13" s="46"/>
      <c r="Q13" s="46"/>
      <c r="R13" s="46"/>
      <c r="S13" s="46"/>
      <c r="T13" s="46"/>
      <c r="U13" s="46"/>
      <c r="V13" s="46"/>
      <c r="W13" s="46"/>
      <c r="X13" s="46"/>
      <c r="Y13" s="46"/>
      <c r="Z13" s="46"/>
      <c r="AA13" s="46"/>
      <c r="AB13" s="46"/>
      <c r="AC13" s="46"/>
      <c r="AD13" s="46"/>
      <c r="AE13" s="47"/>
      <c r="AF13" s="23"/>
      <c r="AG13" s="23"/>
    </row>
    <row r="14" spans="1:33" x14ac:dyDescent="0.25">
      <c r="A14" s="32">
        <v>9</v>
      </c>
      <c r="B14" s="33"/>
      <c r="C14" s="34"/>
      <c r="D14" s="34"/>
      <c r="E14" s="34"/>
      <c r="F14" s="35"/>
      <c r="G14" s="35"/>
      <c r="H14" s="33"/>
      <c r="I14" s="37"/>
      <c r="J14" s="70"/>
      <c r="K14" s="23"/>
      <c r="L14" s="45"/>
      <c r="M14" s="52" t="s">
        <v>45</v>
      </c>
      <c r="N14" s="46"/>
      <c r="O14" s="46"/>
      <c r="P14" s="124" t="str">
        <f ca="1">OFFSET(H5,COUNTA(H:H)-1,0,1,1)</f>
        <v>555-555-5555</v>
      </c>
      <c r="Q14" s="50"/>
      <c r="R14" s="50"/>
      <c r="S14" s="50"/>
      <c r="T14" s="50"/>
      <c r="U14" s="51"/>
      <c r="V14" s="46"/>
      <c r="W14" s="60" t="s">
        <v>99</v>
      </c>
      <c r="X14" s="46"/>
      <c r="Y14" s="306" t="str">
        <f ca="1">OFFSET(I5,COUNTA(I:I)-1,0,1,1)</f>
        <v>Plan A</v>
      </c>
      <c r="Z14" s="314"/>
      <c r="AA14" s="50"/>
      <c r="AB14" s="50"/>
      <c r="AC14" s="50"/>
      <c r="AD14" s="51"/>
      <c r="AE14" s="47"/>
      <c r="AF14" s="23"/>
      <c r="AG14" s="23"/>
    </row>
    <row r="15" spans="1:33" x14ac:dyDescent="0.25">
      <c r="A15" s="32">
        <v>10</v>
      </c>
      <c r="B15" s="33"/>
      <c r="C15" s="34"/>
      <c r="D15" s="34"/>
      <c r="E15" s="34"/>
      <c r="F15" s="35"/>
      <c r="G15" s="35"/>
      <c r="H15" s="33"/>
      <c r="I15" s="37"/>
      <c r="J15" s="70"/>
      <c r="K15" s="23"/>
      <c r="L15" s="45"/>
      <c r="M15" s="46"/>
      <c r="N15" s="46"/>
      <c r="O15" s="46"/>
      <c r="P15" s="46"/>
      <c r="Q15" s="46"/>
      <c r="R15" s="46"/>
      <c r="S15" s="46"/>
      <c r="T15" s="46"/>
      <c r="U15" s="46"/>
      <c r="V15" s="46"/>
      <c r="W15" s="46"/>
      <c r="X15" s="46"/>
      <c r="Y15" s="46"/>
      <c r="Z15" s="46"/>
      <c r="AA15" s="46"/>
      <c r="AB15" s="46"/>
      <c r="AC15" s="46"/>
      <c r="AD15" s="46"/>
      <c r="AE15" s="47"/>
      <c r="AF15" s="23"/>
      <c r="AG15" s="23"/>
    </row>
    <row r="16" spans="1:33" x14ac:dyDescent="0.25">
      <c r="A16" s="32">
        <v>11</v>
      </c>
      <c r="B16" s="33"/>
      <c r="C16" s="34"/>
      <c r="D16" s="34"/>
      <c r="E16" s="34"/>
      <c r="F16" s="35"/>
      <c r="G16" s="35"/>
      <c r="H16" s="33"/>
      <c r="I16" s="37"/>
      <c r="J16" s="70"/>
      <c r="K16" s="23"/>
      <c r="L16" s="45"/>
      <c r="M16" s="52" t="s">
        <v>90</v>
      </c>
      <c r="N16" s="46"/>
      <c r="O16" s="46"/>
      <c r="P16" s="46"/>
      <c r="Q16" s="46"/>
      <c r="R16" s="46"/>
      <c r="S16" s="46"/>
      <c r="T16" s="46"/>
      <c r="U16" s="46"/>
      <c r="V16" s="46"/>
      <c r="W16" s="46"/>
      <c r="X16" s="46"/>
      <c r="Y16" s="333">
        <f ca="1">OFFSET(J5,COUNTA(J:J)-1,0,1,1)</f>
        <v>100000</v>
      </c>
      <c r="Z16" s="334"/>
      <c r="AA16" s="50"/>
      <c r="AB16" s="50"/>
      <c r="AC16" s="50"/>
      <c r="AD16" s="51"/>
      <c r="AE16" s="47"/>
      <c r="AF16" s="23"/>
      <c r="AG16" s="23"/>
    </row>
    <row r="17" spans="1:33" x14ac:dyDescent="0.25">
      <c r="A17" s="32">
        <v>12</v>
      </c>
      <c r="B17" s="33"/>
      <c r="C17" s="34"/>
      <c r="D17" s="34"/>
      <c r="E17" s="34"/>
      <c r="F17" s="35"/>
      <c r="G17" s="35"/>
      <c r="H17" s="33"/>
      <c r="I17" s="37"/>
      <c r="J17" s="70"/>
      <c r="K17" s="23"/>
      <c r="L17" s="45"/>
      <c r="M17" s="46"/>
      <c r="N17" s="46"/>
      <c r="O17" s="46"/>
      <c r="P17" s="46"/>
      <c r="Q17" s="46"/>
      <c r="R17" s="46"/>
      <c r="S17" s="46"/>
      <c r="T17" s="46"/>
      <c r="U17" s="46"/>
      <c r="V17" s="46"/>
      <c r="W17" s="46"/>
      <c r="X17" s="46"/>
      <c r="Y17" s="46"/>
      <c r="Z17" s="46"/>
      <c r="AA17" s="46"/>
      <c r="AB17" s="46"/>
      <c r="AC17" s="46"/>
      <c r="AD17" s="46"/>
      <c r="AE17" s="47"/>
      <c r="AF17" s="23"/>
      <c r="AG17" s="23"/>
    </row>
    <row r="18" spans="1:33" x14ac:dyDescent="0.25">
      <c r="A18" s="32">
        <v>13</v>
      </c>
      <c r="B18" s="33"/>
      <c r="C18" s="34"/>
      <c r="D18" s="34"/>
      <c r="E18" s="34"/>
      <c r="F18" s="35"/>
      <c r="G18" s="35"/>
      <c r="H18" s="33"/>
      <c r="I18" s="37"/>
      <c r="J18" s="70"/>
      <c r="K18" s="23"/>
      <c r="L18" s="303" t="s">
        <v>91</v>
      </c>
      <c r="M18" s="304"/>
      <c r="N18" s="304"/>
      <c r="O18" s="304"/>
      <c r="P18" s="304"/>
      <c r="Q18" s="304"/>
      <c r="R18" s="304"/>
      <c r="S18" s="304"/>
      <c r="T18" s="304"/>
      <c r="U18" s="304"/>
      <c r="V18" s="304"/>
      <c r="W18" s="304"/>
      <c r="X18" s="304"/>
      <c r="Y18" s="304"/>
      <c r="Z18" s="304"/>
      <c r="AA18" s="304"/>
      <c r="AB18" s="304"/>
      <c r="AC18" s="304"/>
      <c r="AD18" s="304"/>
      <c r="AE18" s="305"/>
      <c r="AF18" s="23"/>
      <c r="AG18" s="23"/>
    </row>
    <row r="19" spans="1:33" ht="16.5" thickBot="1" x14ac:dyDescent="0.3">
      <c r="A19" s="32">
        <v>14</v>
      </c>
      <c r="B19" s="33"/>
      <c r="C19" s="34"/>
      <c r="D19" s="34"/>
      <c r="E19" s="34"/>
      <c r="F19" s="35"/>
      <c r="G19" s="35"/>
      <c r="H19" s="33"/>
      <c r="I19" s="37"/>
      <c r="J19" s="70"/>
      <c r="K19" s="23"/>
      <c r="L19" s="61"/>
      <c r="M19" s="62"/>
      <c r="N19" s="62"/>
      <c r="O19" s="62"/>
      <c r="P19" s="62"/>
      <c r="Q19" s="62"/>
      <c r="R19" s="62"/>
      <c r="S19" s="62"/>
      <c r="T19" s="62"/>
      <c r="U19" s="62"/>
      <c r="V19" s="62"/>
      <c r="W19" s="62"/>
      <c r="X19" s="62"/>
      <c r="Y19" s="62"/>
      <c r="Z19" s="62"/>
      <c r="AA19" s="62"/>
      <c r="AB19" s="62"/>
      <c r="AC19" s="62"/>
      <c r="AD19" s="62"/>
      <c r="AE19" s="63"/>
      <c r="AF19" s="23"/>
      <c r="AG19" s="23"/>
    </row>
    <row r="20" spans="1:33" x14ac:dyDescent="0.25">
      <c r="A20" s="32">
        <v>15</v>
      </c>
      <c r="B20" s="33"/>
      <c r="C20" s="34"/>
      <c r="D20" s="34"/>
      <c r="E20" s="34"/>
      <c r="F20" s="35"/>
      <c r="G20" s="35"/>
      <c r="H20" s="33"/>
      <c r="I20" s="37"/>
      <c r="J20" s="70"/>
      <c r="K20" s="23"/>
      <c r="L20" s="23"/>
      <c r="M20" s="23"/>
      <c r="N20" s="23"/>
      <c r="O20" s="23"/>
      <c r="P20" s="23"/>
      <c r="Q20" s="23"/>
      <c r="R20" s="23"/>
      <c r="S20" s="23"/>
      <c r="T20" s="23"/>
      <c r="U20" s="23"/>
      <c r="V20" s="23"/>
      <c r="W20" s="23"/>
      <c r="X20" s="23"/>
      <c r="Y20" s="23"/>
      <c r="Z20" s="23"/>
      <c r="AA20" s="23"/>
      <c r="AB20" s="23"/>
      <c r="AC20" s="23"/>
      <c r="AD20" s="23"/>
      <c r="AE20" s="23"/>
      <c r="AF20" s="23"/>
      <c r="AG20" s="23"/>
    </row>
    <row r="21" spans="1:33" x14ac:dyDescent="0.25">
      <c r="A21" s="32">
        <v>16</v>
      </c>
      <c r="B21" s="33"/>
      <c r="C21" s="34"/>
      <c r="D21" s="34"/>
      <c r="E21" s="34"/>
      <c r="F21" s="35"/>
      <c r="G21" s="35"/>
      <c r="H21" s="33"/>
      <c r="I21" s="37"/>
      <c r="J21" s="70"/>
      <c r="K21" s="23"/>
      <c r="L21" s="23"/>
      <c r="M21" s="23"/>
      <c r="N21" s="23"/>
      <c r="O21" s="23"/>
      <c r="P21" s="23"/>
      <c r="Q21" s="23"/>
      <c r="R21" s="23"/>
      <c r="S21" s="23"/>
      <c r="T21" s="23"/>
      <c r="U21" s="23"/>
      <c r="V21" s="23"/>
      <c r="W21" s="23"/>
      <c r="X21" s="23"/>
      <c r="Y21" s="23"/>
      <c r="Z21" s="23"/>
      <c r="AA21" s="23"/>
      <c r="AB21" s="23"/>
      <c r="AC21" s="23"/>
      <c r="AD21" s="23"/>
      <c r="AE21" s="23"/>
      <c r="AF21" s="23"/>
      <c r="AG21" s="23"/>
    </row>
    <row r="22" spans="1:33" x14ac:dyDescent="0.25">
      <c r="A22" s="32">
        <v>17</v>
      </c>
      <c r="B22" s="33"/>
      <c r="C22" s="34"/>
      <c r="D22" s="34"/>
      <c r="E22" s="34"/>
      <c r="F22" s="35"/>
      <c r="G22" s="35"/>
      <c r="H22" s="33"/>
      <c r="I22" s="37"/>
      <c r="J22" s="70"/>
      <c r="K22" s="23"/>
      <c r="L22" s="23"/>
      <c r="M22" s="23"/>
      <c r="N22" s="23"/>
      <c r="O22" s="23"/>
      <c r="P22" s="23"/>
      <c r="Q22" s="23"/>
      <c r="R22" s="23"/>
      <c r="S22" s="23"/>
      <c r="T22" s="23"/>
      <c r="U22" s="23"/>
      <c r="V22" s="23"/>
      <c r="W22" s="23"/>
      <c r="X22" s="23"/>
      <c r="Y22" s="23"/>
      <c r="Z22" s="23"/>
      <c r="AA22" s="23"/>
      <c r="AB22" s="23"/>
      <c r="AC22" s="23"/>
      <c r="AD22" s="23"/>
      <c r="AE22" s="23"/>
      <c r="AF22" s="23"/>
      <c r="AG22" s="23"/>
    </row>
    <row r="23" spans="1:33" x14ac:dyDescent="0.25">
      <c r="A23" s="32">
        <v>18</v>
      </c>
      <c r="B23" s="33"/>
      <c r="C23" s="34"/>
      <c r="D23" s="34"/>
      <c r="E23" s="34"/>
      <c r="F23" s="35"/>
      <c r="G23" s="35"/>
      <c r="H23" s="33"/>
      <c r="I23" s="37"/>
      <c r="J23" s="70"/>
      <c r="K23" s="23"/>
      <c r="L23" s="23"/>
      <c r="M23" s="23"/>
      <c r="N23" s="23"/>
      <c r="O23" s="23"/>
      <c r="P23" s="23"/>
      <c r="Q23" s="23"/>
      <c r="R23" s="23"/>
      <c r="S23" s="23"/>
      <c r="T23" s="23"/>
      <c r="U23" s="23"/>
      <c r="V23" s="23"/>
      <c r="W23" s="23"/>
      <c r="X23" s="23"/>
      <c r="Y23" s="23"/>
      <c r="Z23" s="23"/>
      <c r="AA23" s="23"/>
      <c r="AB23" s="23"/>
      <c r="AC23" s="23"/>
      <c r="AD23" s="23"/>
      <c r="AE23" s="23"/>
      <c r="AF23" s="23"/>
      <c r="AG23" s="23"/>
    </row>
    <row r="24" spans="1:33" x14ac:dyDescent="0.25">
      <c r="A24" s="32">
        <v>19</v>
      </c>
      <c r="B24" s="33"/>
      <c r="C24" s="34"/>
      <c r="D24" s="34"/>
      <c r="E24" s="34"/>
      <c r="F24" s="35"/>
      <c r="G24" s="35"/>
      <c r="H24" s="33"/>
      <c r="I24" s="37"/>
      <c r="J24" s="70"/>
      <c r="K24" s="23"/>
      <c r="L24" s="23"/>
      <c r="M24" s="23"/>
      <c r="N24" s="23"/>
      <c r="O24" s="23"/>
      <c r="P24" s="23"/>
      <c r="Q24" s="23"/>
      <c r="R24" s="23"/>
      <c r="S24" s="23"/>
      <c r="T24" s="23"/>
      <c r="U24" s="23"/>
      <c r="V24" s="23"/>
      <c r="W24" s="23"/>
      <c r="X24" s="23"/>
      <c r="Y24" s="23"/>
      <c r="Z24" s="23"/>
      <c r="AA24" s="23"/>
      <c r="AB24" s="23"/>
      <c r="AC24" s="23"/>
      <c r="AD24" s="23"/>
      <c r="AE24" s="23"/>
      <c r="AF24" s="23"/>
      <c r="AG24" s="23"/>
    </row>
    <row r="25" spans="1:33" x14ac:dyDescent="0.25">
      <c r="A25" s="32">
        <v>20</v>
      </c>
      <c r="B25" s="33"/>
      <c r="C25" s="34"/>
      <c r="D25" s="34"/>
      <c r="E25" s="34"/>
      <c r="F25" s="35"/>
      <c r="G25" s="35"/>
      <c r="H25" s="33"/>
      <c r="I25" s="37"/>
      <c r="J25" s="70"/>
      <c r="K25" s="23"/>
      <c r="L25" s="23"/>
      <c r="M25" s="23"/>
      <c r="N25" s="23"/>
      <c r="O25" s="23"/>
      <c r="P25" s="23"/>
      <c r="Q25" s="23"/>
      <c r="R25" s="23"/>
      <c r="S25" s="23"/>
      <c r="T25" s="23"/>
      <c r="U25" s="23"/>
      <c r="V25" s="23"/>
      <c r="W25" s="23"/>
      <c r="X25" s="23"/>
      <c r="Y25" s="23"/>
      <c r="Z25" s="23"/>
      <c r="AA25" s="23"/>
      <c r="AB25" s="23"/>
      <c r="AC25" s="23"/>
      <c r="AD25" s="23"/>
      <c r="AE25" s="23"/>
      <c r="AF25" s="23"/>
      <c r="AG25" s="23"/>
    </row>
    <row r="26" spans="1:33" x14ac:dyDescent="0.25">
      <c r="A26" s="32">
        <v>21</v>
      </c>
      <c r="B26" s="33"/>
      <c r="C26" s="34"/>
      <c r="D26" s="34"/>
      <c r="E26" s="34"/>
      <c r="F26" s="35"/>
      <c r="G26" s="35"/>
      <c r="H26" s="33"/>
      <c r="I26" s="37"/>
      <c r="J26" s="70"/>
      <c r="K26" s="23"/>
      <c r="L26" s="23"/>
      <c r="M26" s="23"/>
      <c r="N26" s="23"/>
      <c r="O26" s="23"/>
      <c r="P26" s="23"/>
      <c r="Q26" s="23"/>
      <c r="R26" s="23"/>
      <c r="S26" s="23"/>
      <c r="T26" s="23"/>
      <c r="U26" s="23"/>
      <c r="V26" s="23"/>
      <c r="W26" s="23"/>
      <c r="X26" s="23"/>
      <c r="Y26" s="23"/>
      <c r="Z26" s="23"/>
      <c r="AA26" s="23"/>
      <c r="AB26" s="23"/>
      <c r="AC26" s="23"/>
      <c r="AD26" s="23"/>
      <c r="AE26" s="23"/>
      <c r="AF26" s="23"/>
      <c r="AG26" s="23"/>
    </row>
    <row r="27" spans="1:33" x14ac:dyDescent="0.25">
      <c r="A27" s="32">
        <v>22</v>
      </c>
      <c r="B27" s="33"/>
      <c r="C27" s="34"/>
      <c r="D27" s="34"/>
      <c r="E27" s="34"/>
      <c r="F27" s="35"/>
      <c r="G27" s="35"/>
      <c r="H27" s="33"/>
      <c r="I27" s="37"/>
      <c r="J27" s="70"/>
      <c r="K27" s="23"/>
      <c r="L27" s="23"/>
      <c r="M27" s="23"/>
      <c r="N27" s="23"/>
      <c r="O27" s="23"/>
      <c r="P27" s="23"/>
      <c r="Q27" s="23"/>
      <c r="R27" s="23"/>
      <c r="S27" s="23"/>
      <c r="T27" s="23"/>
      <c r="U27" s="23"/>
      <c r="V27" s="23"/>
      <c r="W27" s="23"/>
      <c r="X27" s="23"/>
      <c r="Y27" s="23"/>
      <c r="Z27" s="23"/>
      <c r="AA27" s="23"/>
      <c r="AB27" s="23"/>
      <c r="AC27" s="23"/>
      <c r="AD27" s="23"/>
      <c r="AE27" s="23"/>
      <c r="AF27" s="23"/>
      <c r="AG27" s="23"/>
    </row>
    <row r="28" spans="1:33" x14ac:dyDescent="0.25">
      <c r="A28" s="32">
        <v>23</v>
      </c>
      <c r="B28" s="33"/>
      <c r="C28" s="34"/>
      <c r="D28" s="34"/>
      <c r="E28" s="34"/>
      <c r="F28" s="35"/>
      <c r="G28" s="35"/>
      <c r="H28" s="33"/>
      <c r="I28" s="37"/>
      <c r="J28" s="70"/>
      <c r="K28" s="23"/>
      <c r="L28" s="23"/>
      <c r="M28" s="23"/>
      <c r="N28" s="23"/>
      <c r="O28" s="23"/>
      <c r="P28" s="23"/>
      <c r="Q28" s="23"/>
      <c r="R28" s="23"/>
      <c r="S28" s="23"/>
      <c r="T28" s="23"/>
      <c r="U28" s="23"/>
      <c r="V28" s="23"/>
      <c r="W28" s="23"/>
      <c r="X28" s="23"/>
      <c r="Y28" s="23"/>
      <c r="Z28" s="23"/>
      <c r="AA28" s="23"/>
      <c r="AB28" s="23"/>
      <c r="AC28" s="23"/>
      <c r="AD28" s="23"/>
      <c r="AE28" s="23"/>
      <c r="AF28" s="23"/>
      <c r="AG28" s="23"/>
    </row>
    <row r="29" spans="1:33" x14ac:dyDescent="0.25">
      <c r="A29" s="32">
        <v>24</v>
      </c>
      <c r="B29" s="33"/>
      <c r="C29" s="34"/>
      <c r="D29" s="34"/>
      <c r="E29" s="34"/>
      <c r="F29" s="35"/>
      <c r="G29" s="35"/>
      <c r="H29" s="33"/>
      <c r="I29" s="37"/>
      <c r="J29" s="70"/>
      <c r="K29" s="23"/>
      <c r="L29" s="23"/>
      <c r="M29" s="23"/>
      <c r="N29" s="23"/>
      <c r="O29" s="23"/>
      <c r="P29" s="23"/>
      <c r="Q29" s="23"/>
      <c r="R29" s="23"/>
      <c r="S29" s="23"/>
      <c r="T29" s="23"/>
      <c r="U29" s="23"/>
      <c r="V29" s="23"/>
      <c r="W29" s="23"/>
      <c r="X29" s="23"/>
      <c r="Y29" s="23"/>
      <c r="Z29" s="23"/>
      <c r="AA29" s="23"/>
      <c r="AB29" s="23"/>
      <c r="AC29" s="23"/>
      <c r="AD29" s="23"/>
      <c r="AE29" s="23"/>
      <c r="AF29" s="23"/>
      <c r="AG29" s="23"/>
    </row>
    <row r="30" spans="1:33" x14ac:dyDescent="0.25">
      <c r="A30" s="32">
        <v>25</v>
      </c>
      <c r="B30" s="33"/>
      <c r="C30" s="34"/>
      <c r="D30" s="34"/>
      <c r="E30" s="34"/>
      <c r="F30" s="35"/>
      <c r="G30" s="35"/>
      <c r="H30" s="33"/>
      <c r="I30" s="37"/>
      <c r="J30" s="70"/>
      <c r="K30" s="23"/>
      <c r="L30" s="23"/>
      <c r="M30" s="23"/>
      <c r="N30" s="23"/>
      <c r="O30" s="23"/>
      <c r="P30" s="23"/>
      <c r="Q30" s="23"/>
      <c r="R30" s="23"/>
      <c r="S30" s="23"/>
      <c r="T30" s="23"/>
      <c r="U30" s="23"/>
      <c r="V30" s="23"/>
      <c r="W30" s="23"/>
      <c r="X30" s="23"/>
      <c r="Y30" s="23"/>
      <c r="Z30" s="23"/>
      <c r="AA30" s="23"/>
      <c r="AB30" s="23"/>
      <c r="AC30" s="23"/>
      <c r="AD30" s="23"/>
      <c r="AE30" s="23"/>
      <c r="AF30" s="23"/>
      <c r="AG30" s="23"/>
    </row>
  </sheetData>
  <mergeCells count="7">
    <mergeCell ref="L18:AE18"/>
    <mergeCell ref="L6:AE6"/>
    <mergeCell ref="Y8:Z8"/>
    <mergeCell ref="Y10:Z10"/>
    <mergeCell ref="Y12:Z12"/>
    <mergeCell ref="Y14:Z14"/>
    <mergeCell ref="Y16:Z16"/>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AG29"/>
  <sheetViews>
    <sheetView showGridLines="0" workbookViewId="0">
      <selection activeCell="Q1" sqref="Q1"/>
    </sheetView>
  </sheetViews>
  <sheetFormatPr defaultRowHeight="15.75" x14ac:dyDescent="0.25"/>
  <cols>
    <col min="1" max="1" width="7.875" bestFit="1" customWidth="1"/>
    <col min="2" max="3" width="10" bestFit="1" customWidth="1"/>
    <col min="4" max="4" width="19" bestFit="1" customWidth="1"/>
    <col min="5" max="5" width="8.375" bestFit="1" customWidth="1"/>
    <col min="6" max="6" width="5.375" bestFit="1" customWidth="1"/>
    <col min="7" max="7" width="5.875" bestFit="1" customWidth="1"/>
    <col min="8" max="8" width="11.875" bestFit="1" customWidth="1"/>
    <col min="9" max="9" width="11.875" customWidth="1"/>
    <col min="10" max="10" width="12.125" bestFit="1" customWidth="1"/>
    <col min="11" max="11" width="3.75" customWidth="1"/>
    <col min="12" max="31" width="3.625" customWidth="1"/>
    <col min="32" max="32" width="3" customWidth="1"/>
  </cols>
  <sheetData>
    <row r="1" spans="1:33" x14ac:dyDescent="0.25">
      <c r="A1" s="16"/>
      <c r="B1" s="16"/>
      <c r="C1" s="16"/>
      <c r="D1" s="16"/>
      <c r="E1" s="16"/>
      <c r="F1" s="16"/>
      <c r="G1" s="16"/>
      <c r="H1" s="16"/>
      <c r="I1" s="16"/>
      <c r="J1" s="16"/>
      <c r="K1" s="16"/>
      <c r="L1" s="16"/>
      <c r="M1" s="16"/>
      <c r="N1" s="16"/>
      <c r="O1" s="16"/>
      <c r="P1" s="16"/>
      <c r="Q1" s="16"/>
      <c r="R1" s="16"/>
      <c r="S1" s="17" t="str">
        <f t="shared" ref="S1:AB1" si="0">VLOOKUP(MAX($A$3:$A$147),$A$3:$H$147,2)</f>
        <v>Smith</v>
      </c>
      <c r="T1" s="17" t="str">
        <f t="shared" si="0"/>
        <v>Smith</v>
      </c>
      <c r="U1" s="17" t="str">
        <f t="shared" si="0"/>
        <v>Smith</v>
      </c>
      <c r="V1" s="17" t="str">
        <f t="shared" si="0"/>
        <v>Smith</v>
      </c>
      <c r="W1" s="17" t="str">
        <f t="shared" si="0"/>
        <v>Smith</v>
      </c>
      <c r="X1" s="17" t="str">
        <f t="shared" si="0"/>
        <v>Smith</v>
      </c>
      <c r="Y1" s="17" t="str">
        <f t="shared" si="0"/>
        <v>Smith</v>
      </c>
      <c r="Z1" s="17" t="str">
        <f t="shared" si="0"/>
        <v>Smith</v>
      </c>
      <c r="AA1" s="17" t="str">
        <f t="shared" si="0"/>
        <v>Smith</v>
      </c>
      <c r="AB1" s="17" t="str">
        <f t="shared" si="0"/>
        <v>Smith</v>
      </c>
      <c r="AC1" s="18"/>
      <c r="AD1" s="18"/>
      <c r="AE1" s="18"/>
      <c r="AF1" s="18"/>
      <c r="AG1" s="18"/>
    </row>
    <row r="2" spans="1:33" ht="16.5" thickBot="1" x14ac:dyDescent="0.3">
      <c r="A2" s="73"/>
      <c r="B2" s="20"/>
      <c r="C2" s="20"/>
      <c r="D2" s="20"/>
      <c r="E2" s="20"/>
      <c r="F2" s="20"/>
      <c r="G2" s="20"/>
      <c r="H2" s="20"/>
      <c r="I2" s="22"/>
      <c r="J2" s="20"/>
      <c r="K2" s="23"/>
      <c r="L2" s="23"/>
      <c r="M2" s="23"/>
      <c r="N2" s="23"/>
      <c r="O2" s="23"/>
      <c r="P2" s="23"/>
      <c r="Q2" s="23"/>
      <c r="R2" s="23"/>
      <c r="S2" s="23"/>
      <c r="T2" s="23"/>
      <c r="U2" s="23"/>
      <c r="V2" s="23"/>
      <c r="W2" s="23"/>
      <c r="X2" s="23"/>
      <c r="Y2" s="23"/>
      <c r="Z2" s="23"/>
      <c r="AA2" s="23"/>
      <c r="AB2" s="23"/>
      <c r="AC2" s="23"/>
      <c r="AD2" s="23"/>
      <c r="AE2" s="23"/>
      <c r="AF2" s="23"/>
      <c r="AG2" s="23"/>
    </row>
    <row r="3" spans="1:33" x14ac:dyDescent="0.25">
      <c r="A3" s="68" t="s">
        <v>38</v>
      </c>
      <c r="B3" s="69" t="s">
        <v>39</v>
      </c>
      <c r="C3" s="69" t="s">
        <v>40</v>
      </c>
      <c r="D3" s="69" t="s">
        <v>41</v>
      </c>
      <c r="E3" s="68" t="s">
        <v>42</v>
      </c>
      <c r="F3" s="68" t="s">
        <v>43</v>
      </c>
      <c r="G3" s="68" t="s">
        <v>44</v>
      </c>
      <c r="H3" s="68" t="s">
        <v>45</v>
      </c>
      <c r="I3" s="68" t="s">
        <v>46</v>
      </c>
      <c r="J3" s="68" t="s">
        <v>47</v>
      </c>
      <c r="K3" s="23"/>
      <c r="L3" s="29"/>
      <c r="M3" s="30"/>
      <c r="N3" s="30"/>
      <c r="O3" s="30"/>
      <c r="P3" s="30"/>
      <c r="Q3" s="30"/>
      <c r="R3" s="30"/>
      <c r="S3" s="30"/>
      <c r="T3" s="30"/>
      <c r="U3" s="30"/>
      <c r="V3" s="30"/>
      <c r="W3" s="30"/>
      <c r="X3" s="30"/>
      <c r="Y3" s="30"/>
      <c r="Z3" s="30"/>
      <c r="AA3" s="30"/>
      <c r="AB3" s="30"/>
      <c r="AC3" s="30"/>
      <c r="AD3" s="30"/>
      <c r="AE3" s="31"/>
      <c r="AF3" s="23"/>
      <c r="AG3" s="23"/>
    </row>
    <row r="4" spans="1:33" x14ac:dyDescent="0.25">
      <c r="A4" s="32">
        <v>1</v>
      </c>
      <c r="B4" s="33" t="s">
        <v>48</v>
      </c>
      <c r="C4" s="34" t="s">
        <v>49</v>
      </c>
      <c r="D4" s="34" t="s">
        <v>50</v>
      </c>
      <c r="E4" s="34" t="s">
        <v>51</v>
      </c>
      <c r="F4" s="35" t="s">
        <v>52</v>
      </c>
      <c r="G4" s="35">
        <v>30062</v>
      </c>
      <c r="H4" s="33" t="s">
        <v>53</v>
      </c>
      <c r="I4" s="37" t="s">
        <v>54</v>
      </c>
      <c r="J4" s="70">
        <v>157665</v>
      </c>
      <c r="K4" s="23"/>
      <c r="L4" s="300" t="s">
        <v>55</v>
      </c>
      <c r="M4" s="301"/>
      <c r="N4" s="301"/>
      <c r="O4" s="301"/>
      <c r="P4" s="301"/>
      <c r="Q4" s="301"/>
      <c r="R4" s="301"/>
      <c r="S4" s="301"/>
      <c r="T4" s="301"/>
      <c r="U4" s="301"/>
      <c r="V4" s="301"/>
      <c r="W4" s="301"/>
      <c r="X4" s="301"/>
      <c r="Y4" s="301"/>
      <c r="Z4" s="301"/>
      <c r="AA4" s="301"/>
      <c r="AB4" s="301"/>
      <c r="AC4" s="301"/>
      <c r="AD4" s="301"/>
      <c r="AE4" s="302"/>
      <c r="AF4" s="23"/>
      <c r="AG4" s="23"/>
    </row>
    <row r="5" spans="1:33" x14ac:dyDescent="0.25">
      <c r="A5" s="32">
        <f>IF(B5&gt;0,A4+1,"")</f>
        <v>2</v>
      </c>
      <c r="B5" s="33" t="s">
        <v>56</v>
      </c>
      <c r="C5" s="34" t="s">
        <v>57</v>
      </c>
      <c r="D5" s="34" t="s">
        <v>58</v>
      </c>
      <c r="E5" s="34" t="s">
        <v>51</v>
      </c>
      <c r="F5" s="35" t="s">
        <v>52</v>
      </c>
      <c r="G5" s="35">
        <v>30063</v>
      </c>
      <c r="H5" s="33" t="s">
        <v>59</v>
      </c>
      <c r="I5" s="37" t="s">
        <v>60</v>
      </c>
      <c r="J5" s="70">
        <v>156340</v>
      </c>
      <c r="K5" s="23"/>
      <c r="L5" s="45"/>
      <c r="M5" s="46"/>
      <c r="N5" s="46"/>
      <c r="O5" s="46"/>
      <c r="P5" s="46"/>
      <c r="Q5" s="46"/>
      <c r="R5" s="46"/>
      <c r="S5" s="46"/>
      <c r="T5" s="46"/>
      <c r="U5" s="46"/>
      <c r="V5" s="46"/>
      <c r="W5" s="46"/>
      <c r="X5" s="46"/>
      <c r="Y5" s="46"/>
      <c r="Z5" s="46"/>
      <c r="AA5" s="46"/>
      <c r="AB5" s="46"/>
      <c r="AC5" s="46"/>
      <c r="AD5" s="46"/>
      <c r="AE5" s="47"/>
      <c r="AF5" s="23"/>
      <c r="AG5" s="23"/>
    </row>
    <row r="6" spans="1:33" x14ac:dyDescent="0.25">
      <c r="A6" s="32">
        <f t="shared" ref="A6:A29" si="1">IF(B6&gt;0,A5+1,"")</f>
        <v>3</v>
      </c>
      <c r="B6" s="33" t="s">
        <v>61</v>
      </c>
      <c r="C6" s="34" t="s">
        <v>62</v>
      </c>
      <c r="D6" s="34" t="s">
        <v>63</v>
      </c>
      <c r="E6" s="34" t="s">
        <v>51</v>
      </c>
      <c r="F6" s="35" t="s">
        <v>52</v>
      </c>
      <c r="G6" s="35">
        <v>30064</v>
      </c>
      <c r="H6" s="33" t="s">
        <v>64</v>
      </c>
      <c r="I6" s="37" t="s">
        <v>65</v>
      </c>
      <c r="J6" s="70">
        <v>81480</v>
      </c>
      <c r="K6" s="23"/>
      <c r="L6" s="45"/>
      <c r="M6" s="48" t="s">
        <v>39</v>
      </c>
      <c r="N6" s="46"/>
      <c r="O6" s="46"/>
      <c r="P6" s="49" t="str">
        <f>VLOOKUP(MAX($A$4:$A$104),$A$4:$J$104,2,FALSE)</f>
        <v>Smith</v>
      </c>
      <c r="Q6" s="50"/>
      <c r="R6" s="50"/>
      <c r="S6" s="50"/>
      <c r="T6" s="50"/>
      <c r="U6" s="51"/>
      <c r="V6" s="46"/>
      <c r="W6" s="52" t="s">
        <v>42</v>
      </c>
      <c r="X6" s="46"/>
      <c r="Y6" s="49" t="str">
        <f>VLOOKUP(MAX($A$4:$A$104),$A$4:$J$104,5,FALSE)</f>
        <v>Home</v>
      </c>
      <c r="Z6" s="50"/>
      <c r="AA6" s="50"/>
      <c r="AB6" s="50"/>
      <c r="AC6" s="50"/>
      <c r="AD6" s="51"/>
      <c r="AE6" s="47"/>
      <c r="AF6" s="23"/>
      <c r="AG6" s="23"/>
    </row>
    <row r="7" spans="1:33" x14ac:dyDescent="0.25">
      <c r="A7" s="32">
        <f t="shared" si="1"/>
        <v>4</v>
      </c>
      <c r="B7" s="33" t="s">
        <v>66</v>
      </c>
      <c r="C7" s="34" t="s">
        <v>67</v>
      </c>
      <c r="D7" s="34" t="s">
        <v>68</v>
      </c>
      <c r="E7" s="34" t="s">
        <v>51</v>
      </c>
      <c r="F7" s="35" t="s">
        <v>52</v>
      </c>
      <c r="G7" s="35">
        <v>30065</v>
      </c>
      <c r="H7" s="33" t="s">
        <v>69</v>
      </c>
      <c r="I7" s="37" t="s">
        <v>54</v>
      </c>
      <c r="J7" s="70">
        <v>202578</v>
      </c>
      <c r="K7" s="23"/>
      <c r="L7" s="45"/>
      <c r="M7" s="46"/>
      <c r="N7" s="46"/>
      <c r="O7" s="46"/>
      <c r="P7" s="46"/>
      <c r="Q7" s="46"/>
      <c r="R7" s="46"/>
      <c r="S7" s="46"/>
      <c r="T7" s="46"/>
      <c r="U7" s="46"/>
      <c r="V7" s="46"/>
      <c r="W7" s="46"/>
      <c r="X7" s="46"/>
      <c r="Y7" s="46"/>
      <c r="Z7" s="46"/>
      <c r="AA7" s="46"/>
      <c r="AB7" s="46"/>
      <c r="AC7" s="46"/>
      <c r="AD7" s="46"/>
      <c r="AE7" s="47"/>
      <c r="AF7" s="23"/>
      <c r="AG7" s="23"/>
    </row>
    <row r="8" spans="1:33" x14ac:dyDescent="0.25">
      <c r="A8" s="32">
        <f t="shared" si="1"/>
        <v>5</v>
      </c>
      <c r="B8" s="33" t="s">
        <v>70</v>
      </c>
      <c r="C8" s="34" t="s">
        <v>71</v>
      </c>
      <c r="D8" s="34" t="s">
        <v>72</v>
      </c>
      <c r="E8" s="34" t="s">
        <v>51</v>
      </c>
      <c r="F8" s="35" t="s">
        <v>52</v>
      </c>
      <c r="G8" s="35">
        <v>30066</v>
      </c>
      <c r="H8" s="33" t="s">
        <v>73</v>
      </c>
      <c r="I8" s="37" t="s">
        <v>60</v>
      </c>
      <c r="J8" s="70">
        <v>177209</v>
      </c>
      <c r="K8" s="23"/>
      <c r="L8" s="45"/>
      <c r="M8" s="48" t="s">
        <v>40</v>
      </c>
      <c r="N8" s="46"/>
      <c r="O8" s="46"/>
      <c r="P8" s="49" t="str">
        <f>VLOOKUP(MAX($A$4:$A$104),$A$4:$J$104,3,FALSE)</f>
        <v>John</v>
      </c>
      <c r="Q8" s="50"/>
      <c r="R8" s="50"/>
      <c r="S8" s="50"/>
      <c r="T8" s="50"/>
      <c r="U8" s="51"/>
      <c r="V8" s="46"/>
      <c r="W8" s="52" t="s">
        <v>43</v>
      </c>
      <c r="X8" s="46"/>
      <c r="Y8" s="49" t="str">
        <f>VLOOKUP(MAX($A$4:$A$104),$A$4:$J$104,6,FALSE)</f>
        <v>GA</v>
      </c>
      <c r="Z8" s="50"/>
      <c r="AA8" s="50"/>
      <c r="AB8" s="50"/>
      <c r="AC8" s="50"/>
      <c r="AD8" s="51"/>
      <c r="AE8" s="47"/>
      <c r="AF8" s="23"/>
      <c r="AG8" s="23"/>
    </row>
    <row r="9" spans="1:33" x14ac:dyDescent="0.25">
      <c r="A9" s="32">
        <f t="shared" si="1"/>
        <v>6</v>
      </c>
      <c r="B9" s="33" t="s">
        <v>74</v>
      </c>
      <c r="C9" s="34" t="s">
        <v>75</v>
      </c>
      <c r="D9" s="34" t="s">
        <v>76</v>
      </c>
      <c r="E9" s="34" t="s">
        <v>77</v>
      </c>
      <c r="F9" s="35" t="s">
        <v>52</v>
      </c>
      <c r="G9" s="35">
        <v>30092</v>
      </c>
      <c r="H9" s="33" t="s">
        <v>78</v>
      </c>
      <c r="I9" s="37" t="s">
        <v>65</v>
      </c>
      <c r="J9" s="70">
        <v>212254.23</v>
      </c>
      <c r="K9" s="23"/>
      <c r="L9" s="45"/>
      <c r="M9" s="46"/>
      <c r="N9" s="46"/>
      <c r="O9" s="46"/>
      <c r="P9" s="46"/>
      <c r="Q9" s="46"/>
      <c r="R9" s="46"/>
      <c r="S9" s="46"/>
      <c r="T9" s="46"/>
      <c r="U9" s="46"/>
      <c r="V9" s="46"/>
      <c r="W9" s="46"/>
      <c r="X9" s="46"/>
      <c r="Y9" s="46"/>
      <c r="Z9" s="46"/>
      <c r="AA9" s="46"/>
      <c r="AB9" s="46"/>
      <c r="AC9" s="46"/>
      <c r="AD9" s="46"/>
      <c r="AE9" s="47"/>
      <c r="AF9" s="23"/>
      <c r="AG9" s="23"/>
    </row>
    <row r="10" spans="1:33" x14ac:dyDescent="0.25">
      <c r="A10" s="32">
        <f t="shared" si="1"/>
        <v>7</v>
      </c>
      <c r="B10" s="33" t="s">
        <v>79</v>
      </c>
      <c r="C10" s="34" t="s">
        <v>80</v>
      </c>
      <c r="D10" s="34" t="s">
        <v>50</v>
      </c>
      <c r="E10" s="34" t="s">
        <v>81</v>
      </c>
      <c r="F10" s="35" t="s">
        <v>82</v>
      </c>
      <c r="G10" s="35">
        <v>30092</v>
      </c>
      <c r="H10" s="33" t="s">
        <v>53</v>
      </c>
      <c r="I10" s="37" t="s">
        <v>54</v>
      </c>
      <c r="J10" s="70">
        <v>124533.45</v>
      </c>
      <c r="K10" s="23"/>
      <c r="L10" s="45"/>
      <c r="M10" s="48" t="s">
        <v>41</v>
      </c>
      <c r="N10" s="46"/>
      <c r="O10" s="46"/>
      <c r="P10" s="49" t="str">
        <f>VLOOKUP(MAX($A$4:$A$104),$A$4:$J$104,4,FALSE)</f>
        <v>999 Somewhere</v>
      </c>
      <c r="Q10" s="50"/>
      <c r="R10" s="50"/>
      <c r="S10" s="50"/>
      <c r="T10" s="50"/>
      <c r="U10" s="51"/>
      <c r="V10" s="46"/>
      <c r="W10" s="52" t="s">
        <v>44</v>
      </c>
      <c r="X10" s="46"/>
      <c r="Y10" s="306">
        <f>VLOOKUP(MAX($A$4:$A$104),$A$4:$J$104,7,FALSE)</f>
        <v>30092</v>
      </c>
      <c r="Z10" s="314"/>
      <c r="AA10" s="314"/>
      <c r="AB10" s="314"/>
      <c r="AC10" s="314"/>
      <c r="AD10" s="315"/>
      <c r="AE10" s="47"/>
      <c r="AF10" s="23"/>
      <c r="AG10" s="23"/>
    </row>
    <row r="11" spans="1:33" x14ac:dyDescent="0.25">
      <c r="A11" s="32">
        <f t="shared" si="1"/>
        <v>8</v>
      </c>
      <c r="B11" s="33" t="s">
        <v>70</v>
      </c>
      <c r="C11" s="34" t="s">
        <v>163</v>
      </c>
      <c r="D11" s="34" t="s">
        <v>164</v>
      </c>
      <c r="E11" s="34" t="s">
        <v>165</v>
      </c>
      <c r="F11" s="35" t="s">
        <v>52</v>
      </c>
      <c r="G11" s="35">
        <v>30092</v>
      </c>
      <c r="H11" s="33" t="s">
        <v>166</v>
      </c>
      <c r="I11" s="37" t="s">
        <v>54</v>
      </c>
      <c r="J11" s="70">
        <v>100000</v>
      </c>
      <c r="K11" s="23"/>
      <c r="L11" s="45"/>
      <c r="M11" s="46"/>
      <c r="N11" s="46"/>
      <c r="O11" s="46"/>
      <c r="P11" s="46"/>
      <c r="Q11" s="46"/>
      <c r="R11" s="46"/>
      <c r="S11" s="46"/>
      <c r="T11" s="46"/>
      <c r="U11" s="46"/>
      <c r="V11" s="46"/>
      <c r="W11" s="46"/>
      <c r="X11" s="46"/>
      <c r="Y11" s="46"/>
      <c r="Z11" s="46"/>
      <c r="AA11" s="46"/>
      <c r="AB11" s="46"/>
      <c r="AC11" s="46"/>
      <c r="AD11" s="46"/>
      <c r="AE11" s="47"/>
      <c r="AF11" s="23"/>
      <c r="AG11" s="23"/>
    </row>
    <row r="12" spans="1:33" x14ac:dyDescent="0.25">
      <c r="A12" s="32" t="str">
        <f t="shared" si="1"/>
        <v/>
      </c>
      <c r="B12" s="33"/>
      <c r="C12" s="34"/>
      <c r="D12" s="34"/>
      <c r="E12" s="34"/>
      <c r="F12" s="35"/>
      <c r="G12" s="35"/>
      <c r="H12" s="33"/>
      <c r="I12" s="37"/>
      <c r="J12" s="70"/>
      <c r="K12" s="23"/>
      <c r="L12" s="45"/>
      <c r="M12" s="52" t="s">
        <v>45</v>
      </c>
      <c r="N12" s="46"/>
      <c r="O12" s="46"/>
      <c r="P12" s="49" t="str">
        <f>VLOOKUP(MAX($A$4:$A$104),$A$4:$J$104,8,FALSE)</f>
        <v>999.999.9999</v>
      </c>
      <c r="Q12" s="50"/>
      <c r="R12" s="50"/>
      <c r="S12" s="50"/>
      <c r="T12" s="50"/>
      <c r="U12" s="51"/>
      <c r="V12" s="46"/>
      <c r="W12" s="60" t="s">
        <v>99</v>
      </c>
      <c r="X12" s="46"/>
      <c r="Y12" s="49" t="str">
        <f>VLOOKUP(MAX($A$4:$A$104),$A$4:$J$104,9,FALSE)</f>
        <v>Plan A</v>
      </c>
      <c r="Z12" s="50"/>
      <c r="AA12" s="50"/>
      <c r="AB12" s="50"/>
      <c r="AC12" s="50"/>
      <c r="AD12" s="51"/>
      <c r="AE12" s="47"/>
      <c r="AF12" s="23"/>
      <c r="AG12" s="23"/>
    </row>
    <row r="13" spans="1:33" x14ac:dyDescent="0.25">
      <c r="A13" s="32" t="str">
        <f t="shared" si="1"/>
        <v/>
      </c>
      <c r="B13" s="33"/>
      <c r="C13" s="34"/>
      <c r="D13" s="34"/>
      <c r="E13" s="34"/>
      <c r="F13" s="35"/>
      <c r="G13" s="35"/>
      <c r="H13" s="33"/>
      <c r="I13" s="37"/>
      <c r="J13" s="70"/>
      <c r="K13" s="23"/>
      <c r="L13" s="45"/>
      <c r="M13" s="46"/>
      <c r="N13" s="46"/>
      <c r="O13" s="46"/>
      <c r="P13" s="46"/>
      <c r="Q13" s="46"/>
      <c r="R13" s="46"/>
      <c r="S13" s="46"/>
      <c r="T13" s="46"/>
      <c r="U13" s="46"/>
      <c r="V13" s="46"/>
      <c r="W13" s="46"/>
      <c r="X13" s="46"/>
      <c r="Y13" s="46"/>
      <c r="Z13" s="46"/>
      <c r="AA13" s="46"/>
      <c r="AB13" s="46"/>
      <c r="AC13" s="46"/>
      <c r="AD13" s="46"/>
      <c r="AE13" s="47"/>
      <c r="AF13" s="23"/>
      <c r="AG13" s="23"/>
    </row>
    <row r="14" spans="1:33" x14ac:dyDescent="0.25">
      <c r="A14" s="32" t="str">
        <f t="shared" si="1"/>
        <v/>
      </c>
      <c r="B14" s="33"/>
      <c r="C14" s="34"/>
      <c r="D14" s="34"/>
      <c r="E14" s="34"/>
      <c r="F14" s="35"/>
      <c r="G14" s="35"/>
      <c r="H14" s="33"/>
      <c r="I14" s="37"/>
      <c r="J14" s="70"/>
      <c r="K14" s="23"/>
      <c r="L14" s="45"/>
      <c r="M14" s="52" t="s">
        <v>90</v>
      </c>
      <c r="N14" s="46"/>
      <c r="O14" s="46"/>
      <c r="P14" s="46"/>
      <c r="Q14" s="46"/>
      <c r="R14" s="46"/>
      <c r="S14" s="46"/>
      <c r="T14" s="46"/>
      <c r="U14" s="46"/>
      <c r="V14" s="46"/>
      <c r="W14" s="46"/>
      <c r="X14" s="46"/>
      <c r="Y14" s="335">
        <f>VLOOKUP(MAX($A$4:$A$104),$A$4:$J$104,10,FALSE)</f>
        <v>100000</v>
      </c>
      <c r="Z14" s="336"/>
      <c r="AA14" s="336"/>
      <c r="AB14" s="336"/>
      <c r="AC14" s="336"/>
      <c r="AD14" s="337"/>
      <c r="AE14" s="47"/>
      <c r="AF14" s="23"/>
      <c r="AG14" s="23"/>
    </row>
    <row r="15" spans="1:33" x14ac:dyDescent="0.25">
      <c r="A15" s="32" t="str">
        <f t="shared" si="1"/>
        <v/>
      </c>
      <c r="B15" s="33"/>
      <c r="C15" s="34"/>
      <c r="D15" s="34"/>
      <c r="E15" s="34"/>
      <c r="F15" s="35"/>
      <c r="G15" s="35"/>
      <c r="H15" s="33"/>
      <c r="I15" s="37"/>
      <c r="J15" s="70"/>
      <c r="K15" s="23"/>
      <c r="L15" s="45"/>
      <c r="M15" s="46"/>
      <c r="N15" s="46"/>
      <c r="O15" s="46"/>
      <c r="P15" s="46"/>
      <c r="Q15" s="46"/>
      <c r="R15" s="46"/>
      <c r="S15" s="46"/>
      <c r="T15" s="46"/>
      <c r="U15" s="46"/>
      <c r="V15" s="46"/>
      <c r="W15" s="46"/>
      <c r="X15" s="46"/>
      <c r="Y15" s="46"/>
      <c r="Z15" s="46"/>
      <c r="AA15" s="46"/>
      <c r="AB15" s="46"/>
      <c r="AC15" s="46"/>
      <c r="AD15" s="46"/>
      <c r="AE15" s="47"/>
      <c r="AF15" s="23"/>
      <c r="AG15" s="23"/>
    </row>
    <row r="16" spans="1:33" x14ac:dyDescent="0.25">
      <c r="A16" s="32" t="str">
        <f t="shared" si="1"/>
        <v/>
      </c>
      <c r="B16" s="33"/>
      <c r="C16" s="34"/>
      <c r="D16" s="34"/>
      <c r="E16" s="34"/>
      <c r="F16" s="35"/>
      <c r="G16" s="35"/>
      <c r="H16" s="33"/>
      <c r="I16" s="37"/>
      <c r="J16" s="70"/>
      <c r="K16" s="23"/>
      <c r="L16" s="303" t="s">
        <v>91</v>
      </c>
      <c r="M16" s="304"/>
      <c r="N16" s="304"/>
      <c r="O16" s="304"/>
      <c r="P16" s="304"/>
      <c r="Q16" s="304"/>
      <c r="R16" s="304"/>
      <c r="S16" s="304"/>
      <c r="T16" s="304"/>
      <c r="U16" s="304"/>
      <c r="V16" s="304"/>
      <c r="W16" s="304"/>
      <c r="X16" s="304"/>
      <c r="Y16" s="304"/>
      <c r="Z16" s="304"/>
      <c r="AA16" s="304"/>
      <c r="AB16" s="304"/>
      <c r="AC16" s="304"/>
      <c r="AD16" s="304"/>
      <c r="AE16" s="305"/>
      <c r="AF16" s="23"/>
      <c r="AG16" s="23"/>
    </row>
    <row r="17" spans="1:33" ht="16.5" thickBot="1" x14ac:dyDescent="0.3">
      <c r="A17" s="32" t="str">
        <f t="shared" si="1"/>
        <v/>
      </c>
      <c r="B17" s="33"/>
      <c r="C17" s="34"/>
      <c r="D17" s="34"/>
      <c r="E17" s="34"/>
      <c r="F17" s="35"/>
      <c r="G17" s="35"/>
      <c r="H17" s="33"/>
      <c r="I17" s="37"/>
      <c r="J17" s="70"/>
      <c r="K17" s="23"/>
      <c r="L17" s="61"/>
      <c r="M17" s="62"/>
      <c r="N17" s="62"/>
      <c r="O17" s="62"/>
      <c r="P17" s="62"/>
      <c r="Q17" s="62"/>
      <c r="R17" s="62"/>
      <c r="S17" s="62"/>
      <c r="T17" s="62"/>
      <c r="U17" s="62"/>
      <c r="V17" s="62"/>
      <c r="W17" s="62"/>
      <c r="X17" s="62"/>
      <c r="Y17" s="62"/>
      <c r="Z17" s="62"/>
      <c r="AA17" s="62"/>
      <c r="AB17" s="62"/>
      <c r="AC17" s="62"/>
      <c r="AD17" s="62"/>
      <c r="AE17" s="63"/>
      <c r="AF17" s="23"/>
      <c r="AG17" s="23"/>
    </row>
    <row r="18" spans="1:33" x14ac:dyDescent="0.25">
      <c r="A18" s="32" t="str">
        <f t="shared" si="1"/>
        <v/>
      </c>
      <c r="B18" s="33"/>
      <c r="C18" s="34"/>
      <c r="D18" s="34"/>
      <c r="E18" s="34"/>
      <c r="F18" s="35"/>
      <c r="G18" s="35"/>
      <c r="H18" s="33"/>
      <c r="I18" s="37"/>
      <c r="J18" s="70"/>
      <c r="K18" s="23"/>
      <c r="L18" s="23"/>
      <c r="M18" s="23"/>
      <c r="N18" s="23"/>
      <c r="O18" s="23"/>
      <c r="P18" s="23"/>
      <c r="Q18" s="23"/>
      <c r="R18" s="23"/>
      <c r="S18" s="23"/>
      <c r="T18" s="23"/>
      <c r="U18" s="23"/>
      <c r="V18" s="23"/>
      <c r="W18" s="23"/>
      <c r="X18" s="23"/>
      <c r="Y18" s="23"/>
      <c r="Z18" s="23"/>
      <c r="AA18" s="23"/>
      <c r="AB18" s="23"/>
      <c r="AC18" s="23"/>
      <c r="AD18" s="23"/>
      <c r="AE18" s="23"/>
      <c r="AF18" s="23"/>
      <c r="AG18" s="23"/>
    </row>
    <row r="19" spans="1:33" x14ac:dyDescent="0.25">
      <c r="A19" s="32" t="str">
        <f t="shared" si="1"/>
        <v/>
      </c>
      <c r="B19" s="33"/>
      <c r="C19" s="34"/>
      <c r="D19" s="34"/>
      <c r="E19" s="34"/>
      <c r="F19" s="35"/>
      <c r="G19" s="35"/>
      <c r="H19" s="33"/>
      <c r="I19" s="37"/>
      <c r="J19" s="70"/>
      <c r="K19" s="23"/>
      <c r="L19" s="23"/>
      <c r="M19" s="23"/>
      <c r="N19" s="23"/>
      <c r="O19" s="23"/>
      <c r="P19" s="23"/>
      <c r="Q19" s="23"/>
      <c r="R19" s="23"/>
      <c r="S19" s="23"/>
      <c r="T19" s="23"/>
      <c r="U19" s="23"/>
      <c r="V19" s="23"/>
      <c r="W19" s="23"/>
      <c r="X19" s="23"/>
      <c r="Y19" s="23"/>
      <c r="Z19" s="23"/>
      <c r="AA19" s="23"/>
      <c r="AB19" s="23"/>
      <c r="AC19" s="23"/>
      <c r="AD19" s="23"/>
      <c r="AE19" s="23"/>
      <c r="AF19" s="23"/>
      <c r="AG19" s="23"/>
    </row>
    <row r="20" spans="1:33" x14ac:dyDescent="0.25">
      <c r="A20" s="32" t="str">
        <f t="shared" si="1"/>
        <v/>
      </c>
      <c r="B20" s="33"/>
      <c r="C20" s="34"/>
      <c r="D20" s="34"/>
      <c r="E20" s="34"/>
      <c r="F20" s="35"/>
      <c r="G20" s="35"/>
      <c r="H20" s="33"/>
      <c r="I20" s="37"/>
      <c r="J20" s="70"/>
      <c r="K20" s="23"/>
      <c r="L20" s="23"/>
      <c r="M20" s="23"/>
      <c r="N20" s="23"/>
      <c r="O20" s="23"/>
      <c r="P20" s="23"/>
      <c r="Q20" s="23"/>
      <c r="R20" s="23"/>
      <c r="S20" s="23"/>
      <c r="T20" s="23"/>
      <c r="U20" s="23"/>
      <c r="V20" s="23"/>
      <c r="W20" s="23"/>
      <c r="X20" s="23"/>
      <c r="Y20" s="23"/>
      <c r="Z20" s="23"/>
      <c r="AA20" s="23"/>
      <c r="AB20" s="23"/>
      <c r="AC20" s="23"/>
      <c r="AD20" s="23"/>
      <c r="AE20" s="23"/>
      <c r="AF20" s="23"/>
      <c r="AG20" s="23"/>
    </row>
    <row r="21" spans="1:33" x14ac:dyDescent="0.25">
      <c r="A21" s="32" t="str">
        <f t="shared" si="1"/>
        <v/>
      </c>
      <c r="B21" s="33"/>
      <c r="C21" s="34"/>
      <c r="D21" s="34"/>
      <c r="E21" s="34"/>
      <c r="F21" s="35"/>
      <c r="G21" s="35"/>
      <c r="H21" s="33"/>
      <c r="I21" s="37"/>
      <c r="J21" s="70"/>
      <c r="K21" s="23"/>
      <c r="L21" s="23"/>
      <c r="M21" s="23"/>
      <c r="N21" s="23"/>
      <c r="O21" s="23"/>
      <c r="P21" s="23"/>
      <c r="Q21" s="23"/>
      <c r="R21" s="23"/>
      <c r="S21" s="23"/>
      <c r="T21" s="23"/>
      <c r="U21" s="23"/>
      <c r="V21" s="23"/>
      <c r="W21" s="23"/>
      <c r="X21" s="23"/>
      <c r="Y21" s="23"/>
      <c r="Z21" s="23"/>
      <c r="AA21" s="23"/>
      <c r="AB21" s="23"/>
      <c r="AC21" s="23"/>
      <c r="AD21" s="23"/>
      <c r="AE21" s="23"/>
      <c r="AF21" s="23"/>
      <c r="AG21" s="23"/>
    </row>
    <row r="22" spans="1:33" x14ac:dyDescent="0.25">
      <c r="A22" s="32" t="str">
        <f t="shared" si="1"/>
        <v/>
      </c>
      <c r="B22" s="33"/>
      <c r="C22" s="34"/>
      <c r="D22" s="34"/>
      <c r="E22" s="34"/>
      <c r="F22" s="35"/>
      <c r="G22" s="35"/>
      <c r="H22" s="33"/>
      <c r="I22" s="37"/>
      <c r="J22" s="70"/>
      <c r="K22" s="23"/>
      <c r="L22" s="23"/>
      <c r="M22" s="23"/>
      <c r="N22" s="23"/>
      <c r="O22" s="23"/>
      <c r="P22" s="23"/>
      <c r="Q22" s="23"/>
      <c r="R22" s="23"/>
      <c r="S22" s="23"/>
      <c r="T22" s="23"/>
      <c r="U22" s="23"/>
      <c r="V22" s="23"/>
      <c r="W22" s="23"/>
      <c r="X22" s="23"/>
      <c r="Y22" s="23"/>
      <c r="Z22" s="23"/>
      <c r="AA22" s="23"/>
      <c r="AB22" s="23"/>
      <c r="AC22" s="23"/>
      <c r="AD22" s="23"/>
      <c r="AE22" s="23"/>
      <c r="AF22" s="23"/>
      <c r="AG22" s="23"/>
    </row>
    <row r="23" spans="1:33" x14ac:dyDescent="0.25">
      <c r="A23" s="32" t="str">
        <f t="shared" si="1"/>
        <v/>
      </c>
      <c r="B23" s="33"/>
      <c r="C23" s="34"/>
      <c r="D23" s="34"/>
      <c r="E23" s="34"/>
      <c r="F23" s="35"/>
      <c r="G23" s="35"/>
      <c r="H23" s="33"/>
      <c r="I23" s="37"/>
      <c r="J23" s="70"/>
      <c r="K23" s="23"/>
      <c r="L23" s="23"/>
      <c r="M23" s="23"/>
      <c r="N23" s="23"/>
      <c r="O23" s="23"/>
      <c r="P23" s="23"/>
      <c r="Q23" s="23"/>
      <c r="R23" s="23"/>
      <c r="S23" s="23"/>
      <c r="T23" s="23"/>
      <c r="U23" s="23"/>
      <c r="V23" s="23"/>
      <c r="W23" s="23"/>
      <c r="X23" s="23"/>
      <c r="Y23" s="23"/>
      <c r="Z23" s="23"/>
      <c r="AA23" s="23"/>
      <c r="AB23" s="23"/>
      <c r="AC23" s="23"/>
      <c r="AD23" s="23"/>
      <c r="AE23" s="23"/>
      <c r="AF23" s="23"/>
      <c r="AG23" s="23"/>
    </row>
    <row r="24" spans="1:33" x14ac:dyDescent="0.25">
      <c r="A24" s="32" t="str">
        <f t="shared" si="1"/>
        <v/>
      </c>
      <c r="B24" s="33"/>
      <c r="C24" s="34"/>
      <c r="D24" s="34"/>
      <c r="E24" s="34"/>
      <c r="F24" s="35"/>
      <c r="G24" s="35"/>
      <c r="H24" s="33"/>
      <c r="I24" s="37"/>
      <c r="J24" s="70"/>
      <c r="K24" s="23"/>
      <c r="L24" s="23"/>
      <c r="M24" s="23"/>
      <c r="N24" s="23"/>
      <c r="O24" s="23"/>
      <c r="P24" s="23"/>
      <c r="Q24" s="23"/>
      <c r="R24" s="23"/>
      <c r="S24" s="23"/>
      <c r="T24" s="23"/>
      <c r="U24" s="23"/>
      <c r="V24" s="23"/>
      <c r="W24" s="23"/>
      <c r="X24" s="23"/>
      <c r="Y24" s="23"/>
      <c r="Z24" s="23"/>
      <c r="AA24" s="23"/>
      <c r="AB24" s="23"/>
      <c r="AC24" s="23"/>
      <c r="AD24" s="23"/>
      <c r="AE24" s="23"/>
      <c r="AF24" s="23"/>
      <c r="AG24" s="23"/>
    </row>
    <row r="25" spans="1:33" x14ac:dyDescent="0.25">
      <c r="A25" s="32" t="str">
        <f t="shared" si="1"/>
        <v/>
      </c>
      <c r="B25" s="33"/>
      <c r="C25" s="34"/>
      <c r="D25" s="34"/>
      <c r="E25" s="34"/>
      <c r="F25" s="35"/>
      <c r="G25" s="35"/>
      <c r="H25" s="33"/>
      <c r="I25" s="37"/>
      <c r="J25" s="70"/>
      <c r="K25" s="23"/>
      <c r="L25" s="23"/>
      <c r="M25" s="23"/>
      <c r="N25" s="23"/>
      <c r="O25" s="23"/>
      <c r="P25" s="23"/>
      <c r="Q25" s="23"/>
      <c r="R25" s="23"/>
      <c r="S25" s="23"/>
      <c r="T25" s="23"/>
      <c r="U25" s="23"/>
      <c r="V25" s="23"/>
      <c r="W25" s="23"/>
      <c r="X25" s="23"/>
      <c r="Y25" s="23"/>
      <c r="Z25" s="23"/>
      <c r="AA25" s="23"/>
      <c r="AB25" s="23"/>
      <c r="AC25" s="23"/>
      <c r="AD25" s="23"/>
      <c r="AE25" s="23"/>
      <c r="AF25" s="23"/>
      <c r="AG25" s="23"/>
    </row>
    <row r="26" spans="1:33" x14ac:dyDescent="0.25">
      <c r="A26" s="32" t="str">
        <f t="shared" si="1"/>
        <v/>
      </c>
      <c r="B26" s="33"/>
      <c r="C26" s="34"/>
      <c r="D26" s="34"/>
      <c r="E26" s="34"/>
      <c r="F26" s="35"/>
      <c r="G26" s="35"/>
      <c r="H26" s="33"/>
      <c r="I26" s="37"/>
      <c r="J26" s="70"/>
      <c r="K26" s="23"/>
      <c r="L26" s="23"/>
      <c r="M26" s="23"/>
      <c r="N26" s="23"/>
      <c r="O26" s="23"/>
      <c r="P26" s="23"/>
      <c r="Q26" s="23"/>
      <c r="R26" s="23"/>
      <c r="S26" s="23"/>
      <c r="T26" s="23"/>
      <c r="U26" s="23"/>
      <c r="V26" s="23"/>
      <c r="W26" s="23"/>
      <c r="X26" s="23"/>
      <c r="Y26" s="23"/>
      <c r="Z26" s="23"/>
      <c r="AA26" s="23"/>
      <c r="AB26" s="23"/>
      <c r="AC26" s="23"/>
      <c r="AD26" s="23"/>
      <c r="AE26" s="23"/>
      <c r="AF26" s="23"/>
      <c r="AG26" s="23"/>
    </row>
    <row r="27" spans="1:33" x14ac:dyDescent="0.25">
      <c r="A27" s="32" t="str">
        <f t="shared" si="1"/>
        <v/>
      </c>
      <c r="B27" s="33"/>
      <c r="C27" s="34"/>
      <c r="D27" s="34"/>
      <c r="E27" s="34"/>
      <c r="F27" s="35"/>
      <c r="G27" s="35"/>
      <c r="H27" s="33"/>
      <c r="I27" s="37"/>
      <c r="J27" s="70"/>
      <c r="K27" s="23"/>
      <c r="L27" s="23"/>
      <c r="M27" s="23"/>
      <c r="N27" s="23"/>
      <c r="O27" s="23"/>
      <c r="P27" s="23"/>
      <c r="Q27" s="23"/>
      <c r="R27" s="23"/>
      <c r="S27" s="23"/>
      <c r="T27" s="23"/>
      <c r="U27" s="23"/>
      <c r="V27" s="23"/>
      <c r="W27" s="23"/>
      <c r="X27" s="23"/>
      <c r="Y27" s="23"/>
      <c r="Z27" s="23"/>
      <c r="AA27" s="23"/>
      <c r="AB27" s="23"/>
      <c r="AC27" s="23"/>
      <c r="AD27" s="23"/>
      <c r="AE27" s="23"/>
      <c r="AF27" s="23"/>
      <c r="AG27" s="23"/>
    </row>
    <row r="28" spans="1:33" x14ac:dyDescent="0.25">
      <c r="A28" s="32" t="str">
        <f t="shared" si="1"/>
        <v/>
      </c>
      <c r="B28" s="33"/>
      <c r="C28" s="34"/>
      <c r="D28" s="34"/>
      <c r="E28" s="34"/>
      <c r="F28" s="35"/>
      <c r="G28" s="35"/>
      <c r="H28" s="33"/>
      <c r="I28" s="37"/>
      <c r="J28" s="70"/>
      <c r="K28" s="23"/>
      <c r="L28" s="23"/>
      <c r="M28" s="23"/>
      <c r="N28" s="23"/>
      <c r="O28" s="23"/>
      <c r="P28" s="23"/>
      <c r="Q28" s="23"/>
      <c r="R28" s="23"/>
      <c r="S28" s="23"/>
      <c r="T28" s="23"/>
      <c r="U28" s="23"/>
      <c r="V28" s="23"/>
      <c r="W28" s="23"/>
      <c r="X28" s="23"/>
      <c r="Y28" s="23"/>
      <c r="Z28" s="23"/>
      <c r="AA28" s="23"/>
      <c r="AB28" s="23"/>
      <c r="AC28" s="23"/>
      <c r="AD28" s="23"/>
      <c r="AE28" s="23"/>
      <c r="AF28" s="23"/>
      <c r="AG28" s="23"/>
    </row>
    <row r="29" spans="1:33" x14ac:dyDescent="0.25">
      <c r="A29" s="32" t="str">
        <f t="shared" si="1"/>
        <v/>
      </c>
      <c r="B29" s="33"/>
      <c r="C29" s="34"/>
      <c r="D29" s="34"/>
      <c r="E29" s="34"/>
      <c r="F29" s="35"/>
      <c r="G29" s="35"/>
      <c r="H29" s="33"/>
      <c r="I29" s="37"/>
      <c r="J29" s="70"/>
      <c r="K29" s="23"/>
      <c r="L29" s="23"/>
      <c r="M29" s="23"/>
      <c r="N29" s="23"/>
      <c r="O29" s="23"/>
      <c r="P29" s="23"/>
      <c r="Q29" s="23"/>
      <c r="R29" s="23"/>
      <c r="S29" s="23"/>
      <c r="T29" s="23"/>
      <c r="U29" s="23"/>
      <c r="V29" s="23"/>
      <c r="W29" s="23"/>
      <c r="X29" s="23"/>
      <c r="Y29" s="23"/>
      <c r="Z29" s="23"/>
      <c r="AA29" s="23"/>
      <c r="AB29" s="23"/>
      <c r="AC29" s="23"/>
      <c r="AD29" s="23"/>
      <c r="AE29" s="23"/>
      <c r="AF29" s="23"/>
      <c r="AG29" s="23"/>
    </row>
  </sheetData>
  <mergeCells count="4">
    <mergeCell ref="L4:AE4"/>
    <mergeCell ref="Y10:AD10"/>
    <mergeCell ref="Y14:AD14"/>
    <mergeCell ref="L16:AE16"/>
  </mergeCell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AG29"/>
  <sheetViews>
    <sheetView showGridLines="0" workbookViewId="0">
      <selection activeCell="Q1" sqref="Q1"/>
    </sheetView>
  </sheetViews>
  <sheetFormatPr defaultRowHeight="15.75" x14ac:dyDescent="0.25"/>
  <cols>
    <col min="1" max="1" width="7.875" bestFit="1" customWidth="1"/>
    <col min="2" max="3" width="10" bestFit="1" customWidth="1"/>
    <col min="4" max="4" width="19" bestFit="1" customWidth="1"/>
    <col min="5" max="5" width="8.375" bestFit="1" customWidth="1"/>
    <col min="6" max="6" width="5.375" bestFit="1" customWidth="1"/>
    <col min="7" max="7" width="5.875" bestFit="1" customWidth="1"/>
    <col min="8" max="8" width="11.875" bestFit="1" customWidth="1"/>
    <col min="9" max="9" width="11.875" customWidth="1"/>
    <col min="10" max="10" width="12.125" bestFit="1" customWidth="1"/>
    <col min="11" max="11" width="3.75" customWidth="1"/>
    <col min="12" max="31" width="3.625" customWidth="1"/>
    <col min="32" max="32" width="3" customWidth="1"/>
  </cols>
  <sheetData>
    <row r="1" spans="1:33" x14ac:dyDescent="0.25">
      <c r="A1" s="16"/>
      <c r="B1" s="16"/>
      <c r="C1" s="16"/>
      <c r="D1" s="16"/>
      <c r="E1" s="16"/>
      <c r="F1" s="16"/>
      <c r="G1" s="16"/>
      <c r="H1" s="16"/>
      <c r="I1" s="16"/>
      <c r="J1" s="16"/>
      <c r="K1" s="16"/>
      <c r="L1" s="16"/>
      <c r="M1" s="16"/>
      <c r="N1" s="16"/>
      <c r="O1" s="16"/>
      <c r="P1" s="16"/>
      <c r="Q1" s="16"/>
      <c r="R1" s="16"/>
      <c r="S1" s="17" t="str">
        <f t="shared" ref="S1:AB1" si="0">VLOOKUP(MAX($A$3:$A$147),$A$3:$H$147,2)</f>
        <v>Collins</v>
      </c>
      <c r="T1" s="17" t="str">
        <f t="shared" si="0"/>
        <v>Collins</v>
      </c>
      <c r="U1" s="17" t="str">
        <f t="shared" si="0"/>
        <v>Collins</v>
      </c>
      <c r="V1" s="17" t="str">
        <f t="shared" si="0"/>
        <v>Collins</v>
      </c>
      <c r="W1" s="17" t="str">
        <f t="shared" si="0"/>
        <v>Collins</v>
      </c>
      <c r="X1" s="17" t="str">
        <f t="shared" si="0"/>
        <v>Collins</v>
      </c>
      <c r="Y1" s="17" t="str">
        <f t="shared" si="0"/>
        <v>Collins</v>
      </c>
      <c r="Z1" s="17" t="str">
        <f t="shared" si="0"/>
        <v>Collins</v>
      </c>
      <c r="AA1" s="17" t="str">
        <f t="shared" si="0"/>
        <v>Collins</v>
      </c>
      <c r="AB1" s="17" t="str">
        <f t="shared" si="0"/>
        <v>Collins</v>
      </c>
      <c r="AC1" s="18"/>
      <c r="AD1" s="18"/>
      <c r="AE1" s="18"/>
      <c r="AF1" s="18"/>
      <c r="AG1" s="18"/>
    </row>
    <row r="2" spans="1:33" ht="16.5" thickBot="1" x14ac:dyDescent="0.3">
      <c r="A2" s="14">
        <f>MAX(A4:A104)</f>
        <v>7</v>
      </c>
      <c r="B2" s="20"/>
      <c r="C2" s="20"/>
      <c r="D2" s="20"/>
      <c r="E2" s="20"/>
      <c r="F2" s="20"/>
      <c r="G2" s="20"/>
      <c r="H2" s="20"/>
      <c r="I2" s="22"/>
      <c r="J2" s="20"/>
      <c r="K2" s="23"/>
      <c r="L2" s="23"/>
      <c r="M2" s="23"/>
      <c r="N2" s="23"/>
      <c r="O2" s="23"/>
      <c r="P2" s="23"/>
      <c r="Q2" s="23"/>
      <c r="R2" s="23"/>
      <c r="S2" s="23"/>
      <c r="T2" s="23"/>
      <c r="U2" s="23"/>
      <c r="V2" s="23"/>
      <c r="W2" s="23"/>
      <c r="X2" s="23"/>
      <c r="Y2" s="23"/>
      <c r="Z2" s="23"/>
      <c r="AA2" s="23"/>
      <c r="AB2" s="23"/>
      <c r="AC2" s="23"/>
      <c r="AD2" s="23"/>
      <c r="AE2" s="23"/>
      <c r="AF2" s="23"/>
      <c r="AG2" s="23"/>
    </row>
    <row r="3" spans="1:33" x14ac:dyDescent="0.25">
      <c r="A3" s="68" t="s">
        <v>38</v>
      </c>
      <c r="B3" s="69" t="s">
        <v>39</v>
      </c>
      <c r="C3" s="69" t="s">
        <v>40</v>
      </c>
      <c r="D3" s="69" t="s">
        <v>41</v>
      </c>
      <c r="E3" s="68" t="s">
        <v>42</v>
      </c>
      <c r="F3" s="68" t="s">
        <v>43</v>
      </c>
      <c r="G3" s="68" t="s">
        <v>44</v>
      </c>
      <c r="H3" s="68" t="s">
        <v>45</v>
      </c>
      <c r="I3" s="68" t="s">
        <v>46</v>
      </c>
      <c r="J3" s="68" t="s">
        <v>47</v>
      </c>
      <c r="K3" s="23"/>
      <c r="L3" s="29"/>
      <c r="M3" s="30"/>
      <c r="N3" s="30"/>
      <c r="O3" s="30"/>
      <c r="P3" s="30"/>
      <c r="Q3" s="30"/>
      <c r="R3" s="30"/>
      <c r="S3" s="30"/>
      <c r="T3" s="30"/>
      <c r="U3" s="30"/>
      <c r="V3" s="30"/>
      <c r="W3" s="30"/>
      <c r="X3" s="30"/>
      <c r="Y3" s="30"/>
      <c r="Z3" s="30"/>
      <c r="AA3" s="30"/>
      <c r="AB3" s="30"/>
      <c r="AC3" s="30"/>
      <c r="AD3" s="30"/>
      <c r="AE3" s="31"/>
      <c r="AF3" s="23"/>
      <c r="AG3" s="23"/>
    </row>
    <row r="4" spans="1:33" x14ac:dyDescent="0.25">
      <c r="A4" s="32">
        <v>1</v>
      </c>
      <c r="B4" s="33" t="s">
        <v>48</v>
      </c>
      <c r="C4" s="34" t="s">
        <v>49</v>
      </c>
      <c r="D4" s="34" t="s">
        <v>50</v>
      </c>
      <c r="E4" s="34" t="s">
        <v>51</v>
      </c>
      <c r="F4" s="35" t="s">
        <v>52</v>
      </c>
      <c r="G4" s="35">
        <v>30062</v>
      </c>
      <c r="H4" s="33" t="s">
        <v>53</v>
      </c>
      <c r="I4" s="37" t="s">
        <v>54</v>
      </c>
      <c r="J4" s="70">
        <v>157665</v>
      </c>
      <c r="K4" s="23"/>
      <c r="L4" s="300" t="s">
        <v>55</v>
      </c>
      <c r="M4" s="301"/>
      <c r="N4" s="301"/>
      <c r="O4" s="301"/>
      <c r="P4" s="301"/>
      <c r="Q4" s="301"/>
      <c r="R4" s="301"/>
      <c r="S4" s="301"/>
      <c r="T4" s="301"/>
      <c r="U4" s="301"/>
      <c r="V4" s="301"/>
      <c r="W4" s="301"/>
      <c r="X4" s="301"/>
      <c r="Y4" s="301"/>
      <c r="Z4" s="301"/>
      <c r="AA4" s="301"/>
      <c r="AB4" s="301"/>
      <c r="AC4" s="301"/>
      <c r="AD4" s="301"/>
      <c r="AE4" s="302"/>
      <c r="AF4" s="23"/>
      <c r="AG4" s="23"/>
    </row>
    <row r="5" spans="1:33" x14ac:dyDescent="0.25">
      <c r="A5" s="32">
        <f t="shared" ref="A5:A10" si="1">IF(B5="","",A4+1)</f>
        <v>2</v>
      </c>
      <c r="B5" s="39" t="s">
        <v>56</v>
      </c>
      <c r="C5" s="39" t="s">
        <v>57</v>
      </c>
      <c r="D5" s="39" t="s">
        <v>58</v>
      </c>
      <c r="E5" s="39" t="s">
        <v>51</v>
      </c>
      <c r="F5" s="40" t="s">
        <v>52</v>
      </c>
      <c r="G5" s="40">
        <v>30063</v>
      </c>
      <c r="H5" s="42" t="s">
        <v>59</v>
      </c>
      <c r="I5" s="43" t="s">
        <v>60</v>
      </c>
      <c r="J5" s="71">
        <v>156340</v>
      </c>
      <c r="K5" s="23"/>
      <c r="L5" s="45"/>
      <c r="M5" s="46"/>
      <c r="N5" s="46"/>
      <c r="O5" s="46"/>
      <c r="P5" s="46"/>
      <c r="Q5" s="46"/>
      <c r="R5" s="46"/>
      <c r="S5" s="46"/>
      <c r="T5" s="46"/>
      <c r="U5" s="46"/>
      <c r="V5" s="46"/>
      <c r="W5" s="46"/>
      <c r="X5" s="46"/>
      <c r="Y5" s="46"/>
      <c r="Z5" s="46"/>
      <c r="AA5" s="46"/>
      <c r="AB5" s="46"/>
      <c r="AC5" s="46"/>
      <c r="AD5" s="46"/>
      <c r="AE5" s="47"/>
      <c r="AF5" s="23"/>
      <c r="AG5" s="23"/>
    </row>
    <row r="6" spans="1:33" x14ac:dyDescent="0.25">
      <c r="A6" s="32">
        <f t="shared" si="1"/>
        <v>3</v>
      </c>
      <c r="B6" s="39" t="s">
        <v>61</v>
      </c>
      <c r="C6" s="42" t="s">
        <v>62</v>
      </c>
      <c r="D6" s="39" t="s">
        <v>63</v>
      </c>
      <c r="E6" s="39" t="s">
        <v>51</v>
      </c>
      <c r="F6" s="40" t="s">
        <v>52</v>
      </c>
      <c r="G6" s="40">
        <v>30064</v>
      </c>
      <c r="H6" s="42" t="s">
        <v>64</v>
      </c>
      <c r="I6" s="43" t="s">
        <v>65</v>
      </c>
      <c r="J6" s="71">
        <v>81480</v>
      </c>
      <c r="K6" s="23"/>
      <c r="L6" s="45"/>
      <c r="M6" s="48" t="s">
        <v>39</v>
      </c>
      <c r="N6" s="46"/>
      <c r="O6" s="46"/>
      <c r="P6" s="49" t="str">
        <f>VLOOKUP(A2,$A$4:$J$104,2,FALSE)</f>
        <v>Collins</v>
      </c>
      <c r="Q6" s="50"/>
      <c r="R6" s="50"/>
      <c r="S6" s="50"/>
      <c r="T6" s="50"/>
      <c r="U6" s="51"/>
      <c r="V6" s="46"/>
      <c r="W6" s="52" t="s">
        <v>42</v>
      </c>
      <c r="X6" s="46"/>
      <c r="Y6" s="49" t="str">
        <f>VLOOKUP(A2,$A$4:$J$104,5,FALSE)</f>
        <v>Norcross</v>
      </c>
      <c r="Z6" s="50"/>
      <c r="AA6" s="50"/>
      <c r="AB6" s="50"/>
      <c r="AC6" s="50"/>
      <c r="AD6" s="51"/>
      <c r="AE6" s="47"/>
      <c r="AF6" s="23"/>
      <c r="AG6" s="23"/>
    </row>
    <row r="7" spans="1:33" x14ac:dyDescent="0.25">
      <c r="A7" s="32">
        <f t="shared" si="1"/>
        <v>4</v>
      </c>
      <c r="B7" s="39" t="s">
        <v>66</v>
      </c>
      <c r="C7" s="42" t="s">
        <v>67</v>
      </c>
      <c r="D7" s="39" t="s">
        <v>68</v>
      </c>
      <c r="E7" s="39" t="s">
        <v>51</v>
      </c>
      <c r="F7" s="40" t="s">
        <v>52</v>
      </c>
      <c r="G7" s="40">
        <v>30065</v>
      </c>
      <c r="H7" s="42" t="s">
        <v>69</v>
      </c>
      <c r="I7" s="43" t="s">
        <v>54</v>
      </c>
      <c r="J7" s="71">
        <v>202578</v>
      </c>
      <c r="K7" s="23"/>
      <c r="L7" s="45"/>
      <c r="M7" s="46"/>
      <c r="N7" s="46"/>
      <c r="O7" s="46"/>
      <c r="P7" s="46"/>
      <c r="Q7" s="46"/>
      <c r="R7" s="46"/>
      <c r="S7" s="46"/>
      <c r="T7" s="46"/>
      <c r="U7" s="46"/>
      <c r="V7" s="46"/>
      <c r="W7" s="46"/>
      <c r="X7" s="46"/>
      <c r="Y7" s="46"/>
      <c r="Z7" s="46"/>
      <c r="AA7" s="46"/>
      <c r="AB7" s="46"/>
      <c r="AC7" s="46"/>
      <c r="AD7" s="46"/>
      <c r="AE7" s="47"/>
      <c r="AF7" s="23"/>
      <c r="AG7" s="23"/>
    </row>
    <row r="8" spans="1:33" x14ac:dyDescent="0.25">
      <c r="A8" s="32">
        <f t="shared" si="1"/>
        <v>5</v>
      </c>
      <c r="B8" s="42" t="s">
        <v>70</v>
      </c>
      <c r="C8" s="39" t="s">
        <v>71</v>
      </c>
      <c r="D8" s="39" t="s">
        <v>72</v>
      </c>
      <c r="E8" s="39" t="s">
        <v>51</v>
      </c>
      <c r="F8" s="40" t="s">
        <v>52</v>
      </c>
      <c r="G8" s="40">
        <v>30066</v>
      </c>
      <c r="H8" s="42" t="s">
        <v>73</v>
      </c>
      <c r="I8" s="43" t="s">
        <v>60</v>
      </c>
      <c r="J8" s="71">
        <v>177209</v>
      </c>
      <c r="K8" s="23"/>
      <c r="L8" s="45"/>
      <c r="M8" s="48" t="s">
        <v>40</v>
      </c>
      <c r="N8" s="46"/>
      <c r="O8" s="46"/>
      <c r="P8" s="49" t="str">
        <f>VLOOKUP(A2,$A$4:$J$104,3,FALSE)</f>
        <v>Carlton</v>
      </c>
      <c r="Q8" s="50"/>
      <c r="R8" s="50"/>
      <c r="S8" s="50"/>
      <c r="T8" s="50"/>
      <c r="U8" s="51"/>
      <c r="V8" s="46"/>
      <c r="W8" s="52" t="s">
        <v>43</v>
      </c>
      <c r="X8" s="46"/>
      <c r="Y8" s="49" t="str">
        <f>VLOOKUP(A2,$A$4:$J$104,6,FALSE)</f>
        <v xml:space="preserve">GA </v>
      </c>
      <c r="Z8" s="50"/>
      <c r="AA8" s="50"/>
      <c r="AB8" s="50"/>
      <c r="AC8" s="50"/>
      <c r="AD8" s="51"/>
      <c r="AE8" s="47"/>
      <c r="AF8" s="23"/>
      <c r="AG8" s="23"/>
    </row>
    <row r="9" spans="1:33" x14ac:dyDescent="0.25">
      <c r="A9" s="32">
        <f t="shared" si="1"/>
        <v>6</v>
      </c>
      <c r="B9" s="39" t="s">
        <v>74</v>
      </c>
      <c r="C9" s="39" t="s">
        <v>75</v>
      </c>
      <c r="D9" s="39" t="s">
        <v>76</v>
      </c>
      <c r="E9" s="39" t="s">
        <v>77</v>
      </c>
      <c r="F9" s="40" t="s">
        <v>52</v>
      </c>
      <c r="G9" s="40">
        <v>30092</v>
      </c>
      <c r="H9" s="42" t="s">
        <v>78</v>
      </c>
      <c r="I9" s="43" t="s">
        <v>65</v>
      </c>
      <c r="J9" s="71">
        <v>212254.23</v>
      </c>
      <c r="K9" s="23"/>
      <c r="L9" s="45"/>
      <c r="M9" s="46"/>
      <c r="N9" s="46"/>
      <c r="O9" s="46"/>
      <c r="P9" s="46"/>
      <c r="Q9" s="46"/>
      <c r="R9" s="46"/>
      <c r="S9" s="46"/>
      <c r="T9" s="46"/>
      <c r="U9" s="46"/>
      <c r="V9" s="46"/>
      <c r="W9" s="46"/>
      <c r="X9" s="46"/>
      <c r="Y9" s="46"/>
      <c r="Z9" s="46"/>
      <c r="AA9" s="46"/>
      <c r="AB9" s="46"/>
      <c r="AC9" s="46"/>
      <c r="AD9" s="46"/>
      <c r="AE9" s="47"/>
      <c r="AF9" s="23"/>
      <c r="AG9" s="23"/>
    </row>
    <row r="10" spans="1:33" x14ac:dyDescent="0.25">
      <c r="A10" s="32">
        <f t="shared" si="1"/>
        <v>7</v>
      </c>
      <c r="B10" s="39" t="s">
        <v>79</v>
      </c>
      <c r="C10" s="39" t="s">
        <v>80</v>
      </c>
      <c r="D10" s="39" t="s">
        <v>50</v>
      </c>
      <c r="E10" s="39" t="s">
        <v>81</v>
      </c>
      <c r="F10" s="40" t="s">
        <v>82</v>
      </c>
      <c r="G10" s="40">
        <v>30092</v>
      </c>
      <c r="H10" s="42" t="s">
        <v>53</v>
      </c>
      <c r="I10" s="43" t="s">
        <v>54</v>
      </c>
      <c r="J10" s="71">
        <v>124533.45</v>
      </c>
      <c r="K10" s="23"/>
      <c r="L10" s="45"/>
      <c r="M10" s="48" t="s">
        <v>41</v>
      </c>
      <c r="N10" s="46"/>
      <c r="O10" s="46"/>
      <c r="P10" s="49" t="str">
        <f>VLOOKUP(A2,$A$4:$J$104,4,FALSE)</f>
        <v>100 Peachtree Street</v>
      </c>
      <c r="Q10" s="50"/>
      <c r="R10" s="50"/>
      <c r="S10" s="50"/>
      <c r="T10" s="50"/>
      <c r="U10" s="51"/>
      <c r="V10" s="46"/>
      <c r="W10" s="52" t="s">
        <v>44</v>
      </c>
      <c r="X10" s="46"/>
      <c r="Y10" s="49" t="str">
        <f>TEXT(VLOOKUP(A2,$A$4:$J$104,7,FALSE),0)</f>
        <v>30092</v>
      </c>
      <c r="Z10" s="50"/>
      <c r="AA10" s="50"/>
      <c r="AB10" s="50"/>
      <c r="AC10" s="50"/>
      <c r="AD10" s="51"/>
      <c r="AE10" s="47"/>
      <c r="AF10" s="23"/>
      <c r="AG10" s="23"/>
    </row>
    <row r="11" spans="1:33" x14ac:dyDescent="0.25">
      <c r="A11" s="32" t="str">
        <f>IF(B11="","",A10+1)</f>
        <v/>
      </c>
      <c r="B11" s="39"/>
      <c r="C11" s="39"/>
      <c r="D11" s="39"/>
      <c r="E11" s="39"/>
      <c r="F11" s="39"/>
      <c r="G11" s="39"/>
      <c r="H11" s="39"/>
      <c r="I11" s="40"/>
      <c r="J11" s="39"/>
      <c r="K11" s="23"/>
      <c r="L11" s="45"/>
      <c r="M11" s="46"/>
      <c r="N11" s="46"/>
      <c r="O11" s="46"/>
      <c r="P11" s="46"/>
      <c r="Q11" s="46"/>
      <c r="R11" s="46"/>
      <c r="S11" s="46"/>
      <c r="T11" s="46"/>
      <c r="U11" s="46"/>
      <c r="V11" s="46"/>
      <c r="W11" s="46"/>
      <c r="X11" s="46"/>
      <c r="Y11" s="46"/>
      <c r="Z11" s="46"/>
      <c r="AA11" s="46"/>
      <c r="AB11" s="46"/>
      <c r="AC11" s="46"/>
      <c r="AD11" s="46"/>
      <c r="AE11" s="47"/>
      <c r="AF11" s="23"/>
      <c r="AG11" s="23"/>
    </row>
    <row r="12" spans="1:33" x14ac:dyDescent="0.25">
      <c r="A12" s="32" t="str">
        <f t="shared" ref="A12:A29" si="2">IF(B12="","",A11+1)</f>
        <v/>
      </c>
      <c r="B12" s="39"/>
      <c r="C12" s="39"/>
      <c r="D12" s="39"/>
      <c r="E12" s="39"/>
      <c r="F12" s="39"/>
      <c r="G12" s="39"/>
      <c r="H12" s="39"/>
      <c r="I12" s="40"/>
      <c r="J12" s="39"/>
      <c r="K12" s="23"/>
      <c r="L12" s="45"/>
      <c r="M12" s="52" t="s">
        <v>45</v>
      </c>
      <c r="N12" s="46"/>
      <c r="O12" s="46"/>
      <c r="P12" s="49" t="str">
        <f>VLOOKUP(A2,$A$4:$J$104,8,FALSE)</f>
        <v>770.842.5902</v>
      </c>
      <c r="Q12" s="50"/>
      <c r="R12" s="50"/>
      <c r="S12" s="50"/>
      <c r="T12" s="50"/>
      <c r="U12" s="51"/>
      <c r="V12" s="46"/>
      <c r="W12" s="60" t="s">
        <v>99</v>
      </c>
      <c r="X12" s="46"/>
      <c r="Y12" s="49" t="str">
        <f>VLOOKUP(A2,$A$4:$J$104,9,FALSE)</f>
        <v>Plan A</v>
      </c>
      <c r="Z12" s="50"/>
      <c r="AA12" s="50"/>
      <c r="AB12" s="50"/>
      <c r="AC12" s="50"/>
      <c r="AD12" s="51"/>
      <c r="AE12" s="47"/>
      <c r="AF12" s="23"/>
      <c r="AG12" s="23"/>
    </row>
    <row r="13" spans="1:33" x14ac:dyDescent="0.25">
      <c r="A13" s="32" t="str">
        <f t="shared" si="2"/>
        <v/>
      </c>
      <c r="B13" s="39"/>
      <c r="C13" s="39"/>
      <c r="D13" s="39"/>
      <c r="E13" s="39"/>
      <c r="F13" s="39"/>
      <c r="G13" s="39"/>
      <c r="H13" s="39"/>
      <c r="I13" s="40"/>
      <c r="J13" s="39"/>
      <c r="K13" s="23"/>
      <c r="L13" s="45"/>
      <c r="M13" s="46"/>
      <c r="N13" s="46"/>
      <c r="O13" s="46"/>
      <c r="P13" s="46"/>
      <c r="Q13" s="46"/>
      <c r="R13" s="46"/>
      <c r="S13" s="46"/>
      <c r="T13" s="46"/>
      <c r="U13" s="46"/>
      <c r="V13" s="46"/>
      <c r="W13" s="46"/>
      <c r="X13" s="46"/>
      <c r="Y13" s="46"/>
      <c r="Z13" s="46"/>
      <c r="AA13" s="46"/>
      <c r="AB13" s="46"/>
      <c r="AC13" s="46"/>
      <c r="AD13" s="46"/>
      <c r="AE13" s="47"/>
      <c r="AF13" s="23"/>
      <c r="AG13" s="23"/>
    </row>
    <row r="14" spans="1:33" x14ac:dyDescent="0.25">
      <c r="A14" s="32" t="str">
        <f t="shared" si="2"/>
        <v/>
      </c>
      <c r="B14" s="39"/>
      <c r="C14" s="39"/>
      <c r="D14" s="39"/>
      <c r="E14" s="39"/>
      <c r="F14" s="39"/>
      <c r="G14" s="39"/>
      <c r="H14" s="39"/>
      <c r="I14" s="40"/>
      <c r="J14" s="39"/>
      <c r="K14" s="23"/>
      <c r="L14" s="45"/>
      <c r="M14" s="52" t="s">
        <v>90</v>
      </c>
      <c r="N14" s="46"/>
      <c r="O14" s="46"/>
      <c r="P14" s="46"/>
      <c r="Q14" s="46"/>
      <c r="R14" s="46"/>
      <c r="S14" s="46"/>
      <c r="T14" s="46"/>
      <c r="U14" s="46"/>
      <c r="V14" s="46"/>
      <c r="W14" s="46"/>
      <c r="X14" s="46"/>
      <c r="Y14" s="49" t="str">
        <f>TEXT(VLOOKUP(A2,$A$4:$J$104,10,FALSE),"$#,###.##")</f>
        <v>$124,533.45</v>
      </c>
      <c r="Z14" s="50"/>
      <c r="AA14" s="50"/>
      <c r="AB14" s="50"/>
      <c r="AC14" s="50"/>
      <c r="AD14" s="51"/>
      <c r="AE14" s="47"/>
      <c r="AF14" s="23"/>
      <c r="AG14" s="23"/>
    </row>
    <row r="15" spans="1:33" x14ac:dyDescent="0.25">
      <c r="A15" s="32" t="str">
        <f t="shared" si="2"/>
        <v/>
      </c>
      <c r="B15" s="39"/>
      <c r="C15" s="39"/>
      <c r="D15" s="39"/>
      <c r="E15" s="39"/>
      <c r="F15" s="39"/>
      <c r="G15" s="39"/>
      <c r="H15" s="39"/>
      <c r="I15" s="40"/>
      <c r="J15" s="39"/>
      <c r="K15" s="23"/>
      <c r="L15" s="45"/>
      <c r="M15" s="46"/>
      <c r="N15" s="46"/>
      <c r="O15" s="46"/>
      <c r="P15" s="46"/>
      <c r="Q15" s="46"/>
      <c r="R15" s="46"/>
      <c r="S15" s="46"/>
      <c r="T15" s="46"/>
      <c r="U15" s="46"/>
      <c r="V15" s="46"/>
      <c r="W15" s="46"/>
      <c r="X15" s="46"/>
      <c r="Y15" s="46"/>
      <c r="Z15" s="46"/>
      <c r="AA15" s="46"/>
      <c r="AB15" s="46"/>
      <c r="AC15" s="46"/>
      <c r="AD15" s="46"/>
      <c r="AE15" s="47"/>
      <c r="AF15" s="23"/>
      <c r="AG15" s="23"/>
    </row>
    <row r="16" spans="1:33" x14ac:dyDescent="0.25">
      <c r="A16" s="32" t="str">
        <f t="shared" si="2"/>
        <v/>
      </c>
      <c r="B16" s="39"/>
      <c r="C16" s="39"/>
      <c r="D16" s="39"/>
      <c r="E16" s="39"/>
      <c r="F16" s="39"/>
      <c r="G16" s="39"/>
      <c r="H16" s="39"/>
      <c r="I16" s="40"/>
      <c r="J16" s="39"/>
      <c r="K16" s="23"/>
      <c r="L16" s="303" t="s">
        <v>91</v>
      </c>
      <c r="M16" s="304"/>
      <c r="N16" s="304"/>
      <c r="O16" s="304"/>
      <c r="P16" s="304"/>
      <c r="Q16" s="304"/>
      <c r="R16" s="304"/>
      <c r="S16" s="304"/>
      <c r="T16" s="304"/>
      <c r="U16" s="304"/>
      <c r="V16" s="304"/>
      <c r="W16" s="304"/>
      <c r="X16" s="304"/>
      <c r="Y16" s="304"/>
      <c r="Z16" s="304"/>
      <c r="AA16" s="304"/>
      <c r="AB16" s="304"/>
      <c r="AC16" s="304"/>
      <c r="AD16" s="304"/>
      <c r="AE16" s="305"/>
      <c r="AF16" s="23"/>
      <c r="AG16" s="23"/>
    </row>
    <row r="17" spans="1:33" ht="16.5" thickBot="1" x14ac:dyDescent="0.3">
      <c r="A17" s="32" t="str">
        <f t="shared" si="2"/>
        <v/>
      </c>
      <c r="B17" s="39"/>
      <c r="C17" s="39"/>
      <c r="D17" s="39"/>
      <c r="E17" s="39"/>
      <c r="F17" s="39"/>
      <c r="G17" s="39"/>
      <c r="H17" s="39"/>
      <c r="I17" s="40"/>
      <c r="J17" s="39"/>
      <c r="K17" s="23"/>
      <c r="L17" s="61"/>
      <c r="M17" s="62"/>
      <c r="N17" s="62"/>
      <c r="O17" s="62"/>
      <c r="P17" s="62"/>
      <c r="Q17" s="62"/>
      <c r="R17" s="62"/>
      <c r="S17" s="62"/>
      <c r="T17" s="62"/>
      <c r="U17" s="62"/>
      <c r="V17" s="62"/>
      <c r="W17" s="62"/>
      <c r="X17" s="62"/>
      <c r="Y17" s="62"/>
      <c r="Z17" s="62"/>
      <c r="AA17" s="62"/>
      <c r="AB17" s="62"/>
      <c r="AC17" s="62"/>
      <c r="AD17" s="62"/>
      <c r="AE17" s="63"/>
      <c r="AF17" s="23"/>
      <c r="AG17" s="23"/>
    </row>
    <row r="18" spans="1:33" x14ac:dyDescent="0.25">
      <c r="A18" s="32" t="str">
        <f t="shared" si="2"/>
        <v/>
      </c>
      <c r="B18" s="39"/>
      <c r="C18" s="39"/>
      <c r="D18" s="39"/>
      <c r="E18" s="39"/>
      <c r="F18" s="39"/>
      <c r="G18" s="39"/>
      <c r="H18" s="39"/>
      <c r="I18" s="40"/>
      <c r="J18" s="39"/>
      <c r="K18" s="23"/>
      <c r="L18" s="23"/>
      <c r="M18" s="23"/>
      <c r="N18" s="23"/>
      <c r="O18" s="23"/>
      <c r="P18" s="23"/>
      <c r="Q18" s="23"/>
      <c r="R18" s="23"/>
      <c r="S18" s="23"/>
      <c r="T18" s="23"/>
      <c r="U18" s="23"/>
      <c r="V18" s="23"/>
      <c r="W18" s="23"/>
      <c r="X18" s="23"/>
      <c r="Y18" s="23"/>
      <c r="Z18" s="23"/>
      <c r="AA18" s="23"/>
      <c r="AB18" s="23"/>
      <c r="AC18" s="23"/>
      <c r="AD18" s="23"/>
      <c r="AE18" s="23"/>
      <c r="AF18" s="23"/>
      <c r="AG18" s="23"/>
    </row>
    <row r="19" spans="1:33" x14ac:dyDescent="0.25">
      <c r="A19" s="32" t="str">
        <f t="shared" si="2"/>
        <v/>
      </c>
      <c r="B19" s="39"/>
      <c r="C19" s="39"/>
      <c r="D19" s="39"/>
      <c r="E19" s="39"/>
      <c r="F19" s="39"/>
      <c r="G19" s="39"/>
      <c r="H19" s="39"/>
      <c r="I19" s="40"/>
      <c r="J19" s="39"/>
      <c r="K19" s="23"/>
      <c r="L19" s="23"/>
      <c r="M19" s="23"/>
      <c r="N19" s="23"/>
      <c r="O19" s="23"/>
      <c r="P19" s="23"/>
      <c r="Q19" s="23"/>
      <c r="R19" s="23"/>
      <c r="S19" s="23"/>
      <c r="T19" s="23"/>
      <c r="U19" s="23"/>
      <c r="V19" s="23"/>
      <c r="W19" s="23"/>
      <c r="X19" s="23"/>
      <c r="Y19" s="23"/>
      <c r="Z19" s="23"/>
      <c r="AA19" s="23"/>
      <c r="AB19" s="23"/>
      <c r="AC19" s="23"/>
      <c r="AD19" s="23"/>
      <c r="AE19" s="23"/>
      <c r="AF19" s="23"/>
      <c r="AG19" s="23"/>
    </row>
    <row r="20" spans="1:33" x14ac:dyDescent="0.25">
      <c r="A20" s="32" t="str">
        <f t="shared" si="2"/>
        <v/>
      </c>
      <c r="B20" s="39"/>
      <c r="C20" s="39"/>
      <c r="D20" s="39"/>
      <c r="E20" s="39"/>
      <c r="F20" s="39"/>
      <c r="G20" s="39"/>
      <c r="H20" s="39"/>
      <c r="I20" s="40"/>
      <c r="J20" s="39"/>
      <c r="K20" s="23"/>
      <c r="L20" s="23"/>
      <c r="M20" s="23"/>
      <c r="N20" s="23"/>
      <c r="O20" s="23"/>
      <c r="P20" s="23"/>
      <c r="Q20" s="23"/>
      <c r="R20" s="23"/>
      <c r="S20" s="23"/>
      <c r="T20" s="23"/>
      <c r="U20" s="23"/>
      <c r="V20" s="23"/>
      <c r="W20" s="23"/>
      <c r="X20" s="23"/>
      <c r="Y20" s="23"/>
      <c r="Z20" s="23"/>
      <c r="AA20" s="23"/>
      <c r="AB20" s="23"/>
      <c r="AC20" s="23"/>
      <c r="AD20" s="23"/>
      <c r="AE20" s="23"/>
      <c r="AF20" s="23"/>
      <c r="AG20" s="23"/>
    </row>
    <row r="21" spans="1:33" x14ac:dyDescent="0.25">
      <c r="A21" s="32" t="str">
        <f t="shared" si="2"/>
        <v/>
      </c>
      <c r="B21" s="39"/>
      <c r="C21" s="39"/>
      <c r="D21" s="39"/>
      <c r="E21" s="39"/>
      <c r="F21" s="39"/>
      <c r="G21" s="39"/>
      <c r="H21" s="39"/>
      <c r="I21" s="40"/>
      <c r="J21" s="39"/>
      <c r="K21" s="23"/>
      <c r="L21" s="23"/>
      <c r="M21" s="23"/>
      <c r="N21" s="23"/>
      <c r="O21" s="23"/>
      <c r="P21" s="23"/>
      <c r="Q21" s="23"/>
      <c r="R21" s="23"/>
      <c r="S21" s="23"/>
      <c r="T21" s="23"/>
      <c r="U21" s="23"/>
      <c r="V21" s="23"/>
      <c r="W21" s="23"/>
      <c r="X21" s="23"/>
      <c r="Y21" s="23"/>
      <c r="Z21" s="23"/>
      <c r="AA21" s="23"/>
      <c r="AB21" s="23"/>
      <c r="AC21" s="23"/>
      <c r="AD21" s="23"/>
      <c r="AE21" s="23"/>
      <c r="AF21" s="23"/>
      <c r="AG21" s="23"/>
    </row>
    <row r="22" spans="1:33" x14ac:dyDescent="0.25">
      <c r="A22" s="32" t="str">
        <f t="shared" si="2"/>
        <v/>
      </c>
      <c r="B22" s="39"/>
      <c r="C22" s="39"/>
      <c r="D22" s="39"/>
      <c r="E22" s="39"/>
      <c r="F22" s="39"/>
      <c r="G22" s="39"/>
      <c r="H22" s="39"/>
      <c r="I22" s="40"/>
      <c r="J22" s="39"/>
      <c r="K22" s="23"/>
      <c r="L22" s="23"/>
      <c r="M22" s="23"/>
      <c r="N22" s="23"/>
      <c r="O22" s="23"/>
      <c r="P22" s="23"/>
      <c r="Q22" s="23"/>
      <c r="R22" s="23"/>
      <c r="S22" s="23"/>
      <c r="T22" s="23"/>
      <c r="U22" s="23"/>
      <c r="V22" s="23"/>
      <c r="W22" s="23"/>
      <c r="X22" s="23"/>
      <c r="Y22" s="23"/>
      <c r="Z22" s="23"/>
      <c r="AA22" s="23"/>
      <c r="AB22" s="23"/>
      <c r="AC22" s="23"/>
      <c r="AD22" s="23"/>
      <c r="AE22" s="23"/>
      <c r="AF22" s="23"/>
      <c r="AG22" s="23"/>
    </row>
    <row r="23" spans="1:33" x14ac:dyDescent="0.25">
      <c r="A23" s="32" t="str">
        <f t="shared" si="2"/>
        <v/>
      </c>
      <c r="B23" s="39"/>
      <c r="C23" s="39"/>
      <c r="D23" s="39"/>
      <c r="E23" s="39"/>
      <c r="F23" s="39"/>
      <c r="G23" s="39"/>
      <c r="H23" s="39"/>
      <c r="I23" s="40"/>
      <c r="J23" s="39"/>
      <c r="K23" s="23"/>
      <c r="L23" s="23"/>
      <c r="M23" s="23"/>
      <c r="N23" s="23"/>
      <c r="O23" s="23"/>
      <c r="P23" s="23"/>
      <c r="Q23" s="23"/>
      <c r="R23" s="23"/>
      <c r="S23" s="23"/>
      <c r="T23" s="23"/>
      <c r="U23" s="23"/>
      <c r="V23" s="23"/>
      <c r="W23" s="23"/>
      <c r="X23" s="23"/>
      <c r="Y23" s="23"/>
      <c r="Z23" s="23"/>
      <c r="AA23" s="23"/>
      <c r="AB23" s="23"/>
      <c r="AC23" s="23"/>
      <c r="AD23" s="23"/>
      <c r="AE23" s="23"/>
      <c r="AF23" s="23"/>
      <c r="AG23" s="23"/>
    </row>
    <row r="24" spans="1:33" x14ac:dyDescent="0.25">
      <c r="A24" s="32" t="str">
        <f t="shared" si="2"/>
        <v/>
      </c>
      <c r="B24" s="39"/>
      <c r="C24" s="39"/>
      <c r="D24" s="39"/>
      <c r="E24" s="39"/>
      <c r="F24" s="39"/>
      <c r="G24" s="39"/>
      <c r="H24" s="39"/>
      <c r="I24" s="40"/>
      <c r="J24" s="39"/>
      <c r="K24" s="23"/>
      <c r="L24" s="23"/>
      <c r="M24" s="23"/>
      <c r="N24" s="23"/>
      <c r="O24" s="23"/>
      <c r="P24" s="23"/>
      <c r="Q24" s="23"/>
      <c r="R24" s="23"/>
      <c r="S24" s="23"/>
      <c r="T24" s="23"/>
      <c r="U24" s="23"/>
      <c r="V24" s="23"/>
      <c r="W24" s="23"/>
      <c r="X24" s="23"/>
      <c r="Y24" s="23"/>
      <c r="Z24" s="23"/>
      <c r="AA24" s="23"/>
      <c r="AB24" s="23"/>
      <c r="AC24" s="23"/>
      <c r="AD24" s="23"/>
      <c r="AE24" s="23"/>
      <c r="AF24" s="23"/>
      <c r="AG24" s="23"/>
    </row>
    <row r="25" spans="1:33" x14ac:dyDescent="0.25">
      <c r="A25" s="32" t="str">
        <f t="shared" si="2"/>
        <v/>
      </c>
      <c r="B25" s="39"/>
      <c r="C25" s="39"/>
      <c r="D25" s="39"/>
      <c r="E25" s="39"/>
      <c r="F25" s="39"/>
      <c r="G25" s="39"/>
      <c r="H25" s="39"/>
      <c r="I25" s="40"/>
      <c r="J25" s="39"/>
      <c r="K25" s="23"/>
      <c r="L25" s="23"/>
      <c r="M25" s="23"/>
      <c r="N25" s="23"/>
      <c r="O25" s="23"/>
      <c r="P25" s="23"/>
      <c r="Q25" s="23"/>
      <c r="R25" s="23"/>
      <c r="S25" s="23"/>
      <c r="T25" s="23"/>
      <c r="U25" s="23"/>
      <c r="V25" s="23"/>
      <c r="W25" s="23"/>
      <c r="X25" s="23"/>
      <c r="Y25" s="23"/>
      <c r="Z25" s="23"/>
      <c r="AA25" s="23"/>
      <c r="AB25" s="23"/>
      <c r="AC25" s="23"/>
      <c r="AD25" s="23"/>
      <c r="AE25" s="23"/>
      <c r="AF25" s="23"/>
      <c r="AG25" s="23"/>
    </row>
    <row r="26" spans="1:33" x14ac:dyDescent="0.25">
      <c r="A26" s="32" t="str">
        <f t="shared" si="2"/>
        <v/>
      </c>
      <c r="B26" s="39"/>
      <c r="C26" s="39"/>
      <c r="D26" s="39"/>
      <c r="E26" s="39"/>
      <c r="F26" s="39"/>
      <c r="G26" s="39"/>
      <c r="H26" s="39"/>
      <c r="I26" s="40"/>
      <c r="J26" s="39"/>
      <c r="K26" s="23"/>
      <c r="L26" s="23"/>
      <c r="M26" s="23"/>
      <c r="N26" s="23"/>
      <c r="O26" s="23"/>
      <c r="P26" s="23"/>
      <c r="Q26" s="23"/>
      <c r="R26" s="23"/>
      <c r="S26" s="23"/>
      <c r="T26" s="23"/>
      <c r="U26" s="23"/>
      <c r="V26" s="23"/>
      <c r="W26" s="23"/>
      <c r="X26" s="23"/>
      <c r="Y26" s="23"/>
      <c r="Z26" s="23"/>
      <c r="AA26" s="23"/>
      <c r="AB26" s="23"/>
      <c r="AC26" s="23"/>
      <c r="AD26" s="23"/>
      <c r="AE26" s="23"/>
      <c r="AF26" s="23"/>
      <c r="AG26" s="23"/>
    </row>
    <row r="27" spans="1:33" x14ac:dyDescent="0.25">
      <c r="A27" s="32" t="str">
        <f t="shared" si="2"/>
        <v/>
      </c>
      <c r="B27" s="39"/>
      <c r="C27" s="39"/>
      <c r="D27" s="39"/>
      <c r="E27" s="39"/>
      <c r="F27" s="39"/>
      <c r="G27" s="39"/>
      <c r="H27" s="39"/>
      <c r="I27" s="40"/>
      <c r="J27" s="39"/>
      <c r="K27" s="23"/>
      <c r="L27" s="23"/>
      <c r="M27" s="23"/>
      <c r="N27" s="23"/>
      <c r="O27" s="23"/>
      <c r="P27" s="23"/>
      <c r="Q27" s="23"/>
      <c r="R27" s="23"/>
      <c r="S27" s="23"/>
      <c r="T27" s="23"/>
      <c r="U27" s="23"/>
      <c r="V27" s="23"/>
      <c r="W27" s="23"/>
      <c r="X27" s="23"/>
      <c r="Y27" s="23"/>
      <c r="Z27" s="23"/>
      <c r="AA27" s="23"/>
      <c r="AB27" s="23"/>
      <c r="AC27" s="23"/>
      <c r="AD27" s="23"/>
      <c r="AE27" s="23"/>
      <c r="AF27" s="23"/>
      <c r="AG27" s="23"/>
    </row>
    <row r="28" spans="1:33" x14ac:dyDescent="0.25">
      <c r="A28" s="32" t="str">
        <f t="shared" si="2"/>
        <v/>
      </c>
      <c r="B28" s="39"/>
      <c r="C28" s="39"/>
      <c r="D28" s="39"/>
      <c r="E28" s="39"/>
      <c r="F28" s="39"/>
      <c r="G28" s="39"/>
      <c r="H28" s="39"/>
      <c r="I28" s="40"/>
      <c r="J28" s="39"/>
      <c r="K28" s="23"/>
      <c r="L28" s="23"/>
      <c r="M28" s="23"/>
      <c r="N28" s="23"/>
      <c r="O28" s="23"/>
      <c r="P28" s="23"/>
      <c r="Q28" s="23"/>
      <c r="R28" s="23"/>
      <c r="S28" s="23"/>
      <c r="T28" s="23"/>
      <c r="U28" s="23"/>
      <c r="V28" s="23"/>
      <c r="W28" s="23"/>
      <c r="X28" s="23"/>
      <c r="Y28" s="23"/>
      <c r="Z28" s="23"/>
      <c r="AA28" s="23"/>
      <c r="AB28" s="23"/>
      <c r="AC28" s="23"/>
      <c r="AD28" s="23"/>
      <c r="AE28" s="23"/>
      <c r="AF28" s="23"/>
      <c r="AG28" s="23"/>
    </row>
    <row r="29" spans="1:33" x14ac:dyDescent="0.25">
      <c r="A29" s="32" t="str">
        <f t="shared" si="2"/>
        <v/>
      </c>
      <c r="B29" s="39"/>
      <c r="C29" s="39"/>
      <c r="D29" s="39"/>
      <c r="E29" s="39"/>
      <c r="F29" s="39"/>
      <c r="G29" s="39"/>
      <c r="H29" s="39"/>
      <c r="I29" s="40"/>
      <c r="J29" s="39"/>
      <c r="K29" s="23"/>
      <c r="L29" s="23"/>
      <c r="M29" s="23"/>
      <c r="N29" s="23"/>
      <c r="O29" s="23"/>
      <c r="P29" s="23"/>
      <c r="Q29" s="23"/>
      <c r="R29" s="23"/>
      <c r="S29" s="23"/>
      <c r="T29" s="23"/>
      <c r="U29" s="23"/>
      <c r="V29" s="23"/>
      <c r="W29" s="23"/>
      <c r="X29" s="23"/>
      <c r="Y29" s="23"/>
      <c r="Z29" s="23"/>
      <c r="AA29" s="23"/>
      <c r="AB29" s="23"/>
      <c r="AC29" s="23"/>
      <c r="AD29" s="23"/>
      <c r="AE29" s="23"/>
      <c r="AF29" s="23"/>
      <c r="AG29" s="23"/>
    </row>
  </sheetData>
  <mergeCells count="2">
    <mergeCell ref="L4:AE4"/>
    <mergeCell ref="L16:AE16"/>
  </mergeCell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AH30"/>
  <sheetViews>
    <sheetView showGridLines="0" workbookViewId="0">
      <selection activeCell="Q1" sqref="Q1"/>
    </sheetView>
  </sheetViews>
  <sheetFormatPr defaultRowHeight="15.75" x14ac:dyDescent="0.25"/>
  <cols>
    <col min="1" max="1" width="7.125" customWidth="1"/>
    <col min="2" max="2" width="8.125" bestFit="1" customWidth="1"/>
    <col min="3" max="4" width="10.25" bestFit="1" customWidth="1"/>
    <col min="5" max="5" width="19.375" bestFit="1" customWidth="1"/>
    <col min="6" max="6" width="8.625" bestFit="1" customWidth="1"/>
    <col min="7" max="7" width="5.5" bestFit="1" customWidth="1"/>
    <col min="8" max="8" width="6" bestFit="1" customWidth="1"/>
    <col min="9" max="9" width="12.125" bestFit="1" customWidth="1"/>
    <col min="10" max="10" width="12.125" customWidth="1"/>
    <col min="11" max="11" width="12.375" bestFit="1" customWidth="1"/>
    <col min="12" max="12" width="3.75" customWidth="1"/>
    <col min="13" max="32" width="3.625" customWidth="1"/>
    <col min="33" max="33" width="3.125" customWidth="1"/>
  </cols>
  <sheetData>
    <row r="1" spans="1:34" x14ac:dyDescent="0.25">
      <c r="A1" s="125"/>
      <c r="B1" s="126"/>
      <c r="C1" s="126"/>
      <c r="D1" s="126"/>
      <c r="E1" s="126"/>
      <c r="F1" s="126"/>
      <c r="G1" s="126"/>
      <c r="H1" s="126"/>
      <c r="I1" s="126"/>
      <c r="J1" s="126"/>
      <c r="K1" s="126"/>
      <c r="L1" s="126"/>
      <c r="M1" s="126"/>
      <c r="N1" s="126"/>
      <c r="O1" s="126"/>
      <c r="P1" s="126"/>
      <c r="Q1" s="126"/>
      <c r="R1" s="126"/>
      <c r="S1" s="126"/>
      <c r="T1" s="127">
        <f t="shared" ref="T1:AC1" si="0">VLOOKUP(MAX($B$3:$B$147),$B$3:$I$147,2)</f>
        <v>0</v>
      </c>
      <c r="U1" s="127">
        <f t="shared" si="0"/>
        <v>0</v>
      </c>
      <c r="V1" s="127">
        <f t="shared" si="0"/>
        <v>0</v>
      </c>
      <c r="W1" s="127">
        <f t="shared" si="0"/>
        <v>0</v>
      </c>
      <c r="X1" s="127">
        <f t="shared" si="0"/>
        <v>0</v>
      </c>
      <c r="Y1" s="127">
        <f t="shared" si="0"/>
        <v>0</v>
      </c>
      <c r="Z1" s="127">
        <f t="shared" si="0"/>
        <v>0</v>
      </c>
      <c r="AA1" s="127">
        <f t="shared" si="0"/>
        <v>0</v>
      </c>
      <c r="AB1" s="127">
        <f t="shared" si="0"/>
        <v>0</v>
      </c>
      <c r="AC1" s="127">
        <f t="shared" si="0"/>
        <v>0</v>
      </c>
      <c r="AD1" s="125"/>
      <c r="AE1" s="125"/>
      <c r="AF1" s="125"/>
      <c r="AG1" s="125"/>
      <c r="AH1" s="125"/>
    </row>
    <row r="2" spans="1:34" ht="16.5" thickBot="1" x14ac:dyDescent="0.3">
      <c r="A2" s="128"/>
      <c r="B2" s="129"/>
      <c r="C2" s="130"/>
      <c r="D2" s="130"/>
      <c r="E2" s="130"/>
      <c r="F2" s="130"/>
      <c r="G2" s="130"/>
      <c r="H2" s="130"/>
      <c r="I2" s="130"/>
      <c r="J2" s="131"/>
      <c r="K2" s="130"/>
      <c r="L2" s="128"/>
      <c r="M2" s="128"/>
      <c r="N2" s="128"/>
      <c r="O2" s="128"/>
      <c r="P2" s="128"/>
      <c r="Q2" s="128"/>
      <c r="R2" s="128"/>
      <c r="S2" s="128"/>
      <c r="T2" s="128"/>
      <c r="U2" s="128"/>
      <c r="V2" s="128"/>
      <c r="W2" s="128"/>
      <c r="X2" s="128"/>
      <c r="Y2" s="128"/>
      <c r="Z2" s="128"/>
      <c r="AA2" s="128"/>
      <c r="AB2" s="128"/>
      <c r="AC2" s="128"/>
      <c r="AD2" s="128"/>
      <c r="AE2" s="128"/>
      <c r="AF2" s="128"/>
      <c r="AG2" s="128"/>
      <c r="AH2" s="128"/>
    </row>
    <row r="3" spans="1:34" x14ac:dyDescent="0.25">
      <c r="A3" s="132" t="s">
        <v>172</v>
      </c>
      <c r="B3" s="132" t="s">
        <v>38</v>
      </c>
      <c r="C3" s="133" t="s">
        <v>39</v>
      </c>
      <c r="D3" s="133" t="s">
        <v>40</v>
      </c>
      <c r="E3" s="133" t="s">
        <v>41</v>
      </c>
      <c r="F3" s="132" t="s">
        <v>42</v>
      </c>
      <c r="G3" s="132" t="s">
        <v>43</v>
      </c>
      <c r="H3" s="132" t="s">
        <v>44</v>
      </c>
      <c r="I3" s="132" t="s">
        <v>45</v>
      </c>
      <c r="J3" s="132" t="s">
        <v>46</v>
      </c>
      <c r="K3" s="132" t="s">
        <v>47</v>
      </c>
      <c r="L3" s="128"/>
      <c r="M3" s="134"/>
      <c r="N3" s="135"/>
      <c r="O3" s="135"/>
      <c r="P3" s="135"/>
      <c r="Q3" s="135"/>
      <c r="R3" s="135"/>
      <c r="S3" s="135"/>
      <c r="T3" s="135"/>
      <c r="U3" s="135"/>
      <c r="V3" s="135"/>
      <c r="W3" s="135"/>
      <c r="X3" s="135"/>
      <c r="Y3" s="135"/>
      <c r="Z3" s="135"/>
      <c r="AA3" s="135"/>
      <c r="AB3" s="135"/>
      <c r="AC3" s="135"/>
      <c r="AD3" s="135"/>
      <c r="AE3" s="135"/>
      <c r="AF3" s="136"/>
      <c r="AG3" s="128"/>
      <c r="AH3" s="128"/>
    </row>
    <row r="4" spans="1:34" x14ac:dyDescent="0.25">
      <c r="A4" s="128">
        <f>IF(C5&lt;&gt;"",1,2)</f>
        <v>1</v>
      </c>
      <c r="B4" s="137">
        <v>1</v>
      </c>
      <c r="C4" s="138" t="s">
        <v>48</v>
      </c>
      <c r="D4" s="139" t="s">
        <v>49</v>
      </c>
      <c r="E4" s="139" t="s">
        <v>50</v>
      </c>
      <c r="F4" s="139" t="s">
        <v>51</v>
      </c>
      <c r="G4" s="140" t="s">
        <v>52</v>
      </c>
      <c r="H4" s="140">
        <v>30062</v>
      </c>
      <c r="I4" s="138" t="s">
        <v>53</v>
      </c>
      <c r="J4" s="141" t="s">
        <v>54</v>
      </c>
      <c r="K4" s="142">
        <v>157665</v>
      </c>
      <c r="L4" s="128"/>
      <c r="M4" s="338" t="s">
        <v>55</v>
      </c>
      <c r="N4" s="339"/>
      <c r="O4" s="339"/>
      <c r="P4" s="339"/>
      <c r="Q4" s="339"/>
      <c r="R4" s="339"/>
      <c r="S4" s="339"/>
      <c r="T4" s="339"/>
      <c r="U4" s="339"/>
      <c r="V4" s="339"/>
      <c r="W4" s="339"/>
      <c r="X4" s="339"/>
      <c r="Y4" s="339"/>
      <c r="Z4" s="339"/>
      <c r="AA4" s="339"/>
      <c r="AB4" s="339"/>
      <c r="AC4" s="339"/>
      <c r="AD4" s="339"/>
      <c r="AE4" s="339"/>
      <c r="AF4" s="340"/>
      <c r="AG4" s="128"/>
      <c r="AH4" s="128"/>
    </row>
    <row r="5" spans="1:34" x14ac:dyDescent="0.25">
      <c r="A5" s="128">
        <f t="shared" ref="A5:A30" si="1">IF(C6&lt;&gt;"",1,2)</f>
        <v>1</v>
      </c>
      <c r="B5" s="137">
        <v>2</v>
      </c>
      <c r="C5" s="143" t="s">
        <v>56</v>
      </c>
      <c r="D5" s="143" t="s">
        <v>57</v>
      </c>
      <c r="E5" s="143" t="s">
        <v>58</v>
      </c>
      <c r="F5" s="143" t="s">
        <v>51</v>
      </c>
      <c r="G5" s="144" t="s">
        <v>52</v>
      </c>
      <c r="H5" s="144">
        <v>30063</v>
      </c>
      <c r="I5" s="145" t="s">
        <v>59</v>
      </c>
      <c r="J5" s="146" t="s">
        <v>60</v>
      </c>
      <c r="K5" s="147">
        <v>156340</v>
      </c>
      <c r="L5" s="128"/>
      <c r="M5" s="148"/>
      <c r="N5" s="149"/>
      <c r="O5" s="149"/>
      <c r="P5" s="149"/>
      <c r="Q5" s="149"/>
      <c r="R5" s="149"/>
      <c r="S5" s="149"/>
      <c r="T5" s="149"/>
      <c r="U5" s="149"/>
      <c r="V5" s="149"/>
      <c r="W5" s="149"/>
      <c r="X5" s="149"/>
      <c r="Y5" s="149"/>
      <c r="Z5" s="149"/>
      <c r="AA5" s="149"/>
      <c r="AB5" s="149"/>
      <c r="AC5" s="149"/>
      <c r="AD5" s="149"/>
      <c r="AE5" s="149"/>
      <c r="AF5" s="150"/>
      <c r="AG5" s="128"/>
      <c r="AH5" s="128"/>
    </row>
    <row r="6" spans="1:34" x14ac:dyDescent="0.25">
      <c r="A6" s="128">
        <f t="shared" si="1"/>
        <v>1</v>
      </c>
      <c r="B6" s="137">
        <v>3</v>
      </c>
      <c r="C6" s="143" t="s">
        <v>61</v>
      </c>
      <c r="D6" s="145" t="s">
        <v>62</v>
      </c>
      <c r="E6" s="143" t="s">
        <v>63</v>
      </c>
      <c r="F6" s="143" t="s">
        <v>51</v>
      </c>
      <c r="G6" s="144" t="s">
        <v>52</v>
      </c>
      <c r="H6" s="144">
        <v>30064</v>
      </c>
      <c r="I6" s="145" t="s">
        <v>64</v>
      </c>
      <c r="J6" s="146" t="s">
        <v>65</v>
      </c>
      <c r="K6" s="147">
        <v>81480</v>
      </c>
      <c r="L6" s="128"/>
      <c r="M6" s="148"/>
      <c r="N6" s="151" t="s">
        <v>39</v>
      </c>
      <c r="O6" s="149"/>
      <c r="P6" s="149"/>
      <c r="Q6" s="152" t="str">
        <f>VLOOKUP(2,Pensions,3,FALSE)</f>
        <v>Collins</v>
      </c>
      <c r="R6" s="153"/>
      <c r="S6" s="153"/>
      <c r="T6" s="153"/>
      <c r="U6" s="153"/>
      <c r="V6" s="154"/>
      <c r="W6" s="149"/>
      <c r="X6" s="155" t="s">
        <v>42</v>
      </c>
      <c r="Y6" s="149"/>
      <c r="Z6" s="152" t="str">
        <f>VLOOKUP(2,Pensions,6,FALSE)</f>
        <v>Norcross</v>
      </c>
      <c r="AA6" s="153"/>
      <c r="AB6" s="153"/>
      <c r="AC6" s="153"/>
      <c r="AD6" s="153"/>
      <c r="AE6" s="154"/>
      <c r="AF6" s="150"/>
      <c r="AG6" s="128"/>
      <c r="AH6" s="128"/>
    </row>
    <row r="7" spans="1:34" x14ac:dyDescent="0.25">
      <c r="A7" s="128">
        <f t="shared" si="1"/>
        <v>1</v>
      </c>
      <c r="B7" s="137">
        <v>4</v>
      </c>
      <c r="C7" s="143" t="s">
        <v>66</v>
      </c>
      <c r="D7" s="145" t="s">
        <v>67</v>
      </c>
      <c r="E7" s="143" t="s">
        <v>68</v>
      </c>
      <c r="F7" s="143" t="s">
        <v>51</v>
      </c>
      <c r="G7" s="144" t="s">
        <v>52</v>
      </c>
      <c r="H7" s="144">
        <v>30065</v>
      </c>
      <c r="I7" s="145" t="s">
        <v>69</v>
      </c>
      <c r="J7" s="146" t="s">
        <v>54</v>
      </c>
      <c r="K7" s="147">
        <v>202578</v>
      </c>
      <c r="L7" s="128"/>
      <c r="M7" s="148"/>
      <c r="N7" s="149"/>
      <c r="O7" s="149"/>
      <c r="P7" s="149"/>
      <c r="Q7" s="149"/>
      <c r="R7" s="149"/>
      <c r="S7" s="149"/>
      <c r="T7" s="149"/>
      <c r="U7" s="149"/>
      <c r="V7" s="149"/>
      <c r="W7" s="149"/>
      <c r="X7" s="149"/>
      <c r="Y7" s="149"/>
      <c r="Z7" s="149"/>
      <c r="AA7" s="149"/>
      <c r="AB7" s="149"/>
      <c r="AC7" s="149"/>
      <c r="AD7" s="149"/>
      <c r="AE7" s="149"/>
      <c r="AF7" s="150"/>
      <c r="AG7" s="128"/>
      <c r="AH7" s="128"/>
    </row>
    <row r="8" spans="1:34" x14ac:dyDescent="0.25">
      <c r="A8" s="128">
        <f t="shared" si="1"/>
        <v>1</v>
      </c>
      <c r="B8" s="137">
        <v>5</v>
      </c>
      <c r="C8" s="145" t="s">
        <v>70</v>
      </c>
      <c r="D8" s="143" t="s">
        <v>71</v>
      </c>
      <c r="E8" s="143" t="s">
        <v>72</v>
      </c>
      <c r="F8" s="143" t="s">
        <v>51</v>
      </c>
      <c r="G8" s="144" t="s">
        <v>52</v>
      </c>
      <c r="H8" s="144">
        <v>30066</v>
      </c>
      <c r="I8" s="145" t="s">
        <v>73</v>
      </c>
      <c r="J8" s="146" t="s">
        <v>60</v>
      </c>
      <c r="K8" s="147">
        <v>177209</v>
      </c>
      <c r="L8" s="128"/>
      <c r="M8" s="148"/>
      <c r="N8" s="151" t="s">
        <v>40</v>
      </c>
      <c r="O8" s="149"/>
      <c r="P8" s="149"/>
      <c r="Q8" s="152" t="str">
        <f>VLOOKUP(2,Pensions,4,FALSE)</f>
        <v>Carlton</v>
      </c>
      <c r="R8" s="153"/>
      <c r="S8" s="153"/>
      <c r="T8" s="153"/>
      <c r="U8" s="153"/>
      <c r="V8" s="154"/>
      <c r="W8" s="149"/>
      <c r="X8" s="155" t="s">
        <v>43</v>
      </c>
      <c r="Y8" s="149"/>
      <c r="Z8" s="152" t="str">
        <f>VLOOKUP(2,Pensions,7,FALSE)</f>
        <v xml:space="preserve">GA </v>
      </c>
      <c r="AA8" s="153"/>
      <c r="AB8" s="153"/>
      <c r="AC8" s="153"/>
      <c r="AD8" s="153"/>
      <c r="AE8" s="154"/>
      <c r="AF8" s="150"/>
      <c r="AG8" s="128"/>
      <c r="AH8" s="128"/>
    </row>
    <row r="9" spans="1:34" x14ac:dyDescent="0.25">
      <c r="A9" s="128">
        <f t="shared" si="1"/>
        <v>1</v>
      </c>
      <c r="B9" s="137">
        <v>6</v>
      </c>
      <c r="C9" s="143" t="s">
        <v>74</v>
      </c>
      <c r="D9" s="143" t="s">
        <v>75</v>
      </c>
      <c r="E9" s="143" t="s">
        <v>76</v>
      </c>
      <c r="F9" s="143" t="s">
        <v>77</v>
      </c>
      <c r="G9" s="144" t="s">
        <v>52</v>
      </c>
      <c r="H9" s="144">
        <v>30092</v>
      </c>
      <c r="I9" s="145" t="s">
        <v>78</v>
      </c>
      <c r="J9" s="146" t="s">
        <v>65</v>
      </c>
      <c r="K9" s="147">
        <v>212254.23</v>
      </c>
      <c r="L9" s="128"/>
      <c r="M9" s="148"/>
      <c r="N9" s="149"/>
      <c r="O9" s="149"/>
      <c r="P9" s="149"/>
      <c r="Q9" s="149"/>
      <c r="R9" s="149"/>
      <c r="S9" s="149"/>
      <c r="T9" s="149"/>
      <c r="U9" s="149"/>
      <c r="V9" s="149"/>
      <c r="W9" s="149"/>
      <c r="X9" s="149"/>
      <c r="Y9" s="149"/>
      <c r="Z9" s="149"/>
      <c r="AA9" s="149"/>
      <c r="AB9" s="149"/>
      <c r="AC9" s="149"/>
      <c r="AD9" s="149"/>
      <c r="AE9" s="149"/>
      <c r="AF9" s="150"/>
      <c r="AG9" s="128"/>
      <c r="AH9" s="128"/>
    </row>
    <row r="10" spans="1:34" x14ac:dyDescent="0.25">
      <c r="A10" s="128">
        <f t="shared" si="1"/>
        <v>2</v>
      </c>
      <c r="B10" s="137">
        <v>7</v>
      </c>
      <c r="C10" s="143" t="s">
        <v>79</v>
      </c>
      <c r="D10" s="143" t="s">
        <v>80</v>
      </c>
      <c r="E10" s="143" t="s">
        <v>50</v>
      </c>
      <c r="F10" s="143" t="s">
        <v>81</v>
      </c>
      <c r="G10" s="144" t="s">
        <v>82</v>
      </c>
      <c r="H10" s="144">
        <v>30092</v>
      </c>
      <c r="I10" s="145" t="s">
        <v>53</v>
      </c>
      <c r="J10" s="146" t="s">
        <v>54</v>
      </c>
      <c r="K10" s="147">
        <v>124533.45</v>
      </c>
      <c r="L10" s="128"/>
      <c r="M10" s="148"/>
      <c r="N10" s="151" t="s">
        <v>41</v>
      </c>
      <c r="O10" s="149"/>
      <c r="P10" s="149"/>
      <c r="Q10" s="152" t="str">
        <f>VLOOKUP(2,Pensions,5,FALSE)</f>
        <v>100 Peachtree Street</v>
      </c>
      <c r="R10" s="153"/>
      <c r="S10" s="153"/>
      <c r="T10" s="153"/>
      <c r="U10" s="153"/>
      <c r="V10" s="154"/>
      <c r="W10" s="149"/>
      <c r="X10" s="155" t="s">
        <v>44</v>
      </c>
      <c r="Y10" s="149"/>
      <c r="Z10" s="152" t="str">
        <f>TEXT(VLOOKUP(2,Pensions,8,FALSE),0)</f>
        <v>30092</v>
      </c>
      <c r="AA10" s="153"/>
      <c r="AB10" s="153"/>
      <c r="AC10" s="153"/>
      <c r="AD10" s="153"/>
      <c r="AE10" s="154"/>
      <c r="AF10" s="150"/>
      <c r="AG10" s="128"/>
      <c r="AH10" s="128"/>
    </row>
    <row r="11" spans="1:34" x14ac:dyDescent="0.25">
      <c r="A11" s="128">
        <f t="shared" si="1"/>
        <v>2</v>
      </c>
      <c r="B11" s="137">
        <v>8</v>
      </c>
      <c r="C11" s="143"/>
      <c r="D11" s="145"/>
      <c r="E11" s="143"/>
      <c r="F11" s="143"/>
      <c r="G11" s="144"/>
      <c r="H11" s="144"/>
      <c r="I11" s="145"/>
      <c r="J11" s="146"/>
      <c r="K11" s="147"/>
      <c r="L11" s="128"/>
      <c r="M11" s="148"/>
      <c r="N11" s="149"/>
      <c r="O11" s="149"/>
      <c r="P11" s="149"/>
      <c r="Q11" s="149"/>
      <c r="R11" s="149"/>
      <c r="S11" s="149"/>
      <c r="T11" s="149"/>
      <c r="U11" s="149"/>
      <c r="V11" s="149"/>
      <c r="W11" s="149"/>
      <c r="X11" s="149"/>
      <c r="Y11" s="149"/>
      <c r="Z11" s="149"/>
      <c r="AA11" s="149"/>
      <c r="AB11" s="149"/>
      <c r="AC11" s="149"/>
      <c r="AD11" s="149"/>
      <c r="AE11" s="149"/>
      <c r="AF11" s="150"/>
      <c r="AG11" s="128"/>
      <c r="AH11" s="128"/>
    </row>
    <row r="12" spans="1:34" x14ac:dyDescent="0.25">
      <c r="A12" s="128">
        <f t="shared" si="1"/>
        <v>2</v>
      </c>
      <c r="B12" s="137">
        <v>9</v>
      </c>
      <c r="C12" s="143"/>
      <c r="D12" s="145"/>
      <c r="E12" s="143"/>
      <c r="F12" s="143"/>
      <c r="G12" s="144"/>
      <c r="H12" s="144"/>
      <c r="I12" s="145"/>
      <c r="J12" s="146"/>
      <c r="K12" s="147"/>
      <c r="L12" s="128"/>
      <c r="M12" s="148"/>
      <c r="N12" s="155" t="s">
        <v>45</v>
      </c>
      <c r="O12" s="149"/>
      <c r="P12" s="149"/>
      <c r="Q12" s="152" t="str">
        <f>VLOOKUP(2,Pensions,9,FALSE)</f>
        <v>770.842.5902</v>
      </c>
      <c r="R12" s="153"/>
      <c r="S12" s="153"/>
      <c r="T12" s="153"/>
      <c r="U12" s="153"/>
      <c r="V12" s="154"/>
      <c r="W12" s="149"/>
      <c r="X12" s="156" t="s">
        <v>99</v>
      </c>
      <c r="Y12" s="149"/>
      <c r="Z12" s="152" t="str">
        <f>VLOOKUP(2,Pensions,10,FALSE)</f>
        <v>Plan A</v>
      </c>
      <c r="AA12" s="153"/>
      <c r="AB12" s="153"/>
      <c r="AC12" s="153"/>
      <c r="AD12" s="153"/>
      <c r="AE12" s="154"/>
      <c r="AF12" s="150"/>
      <c r="AG12" s="128"/>
      <c r="AH12" s="128"/>
    </row>
    <row r="13" spans="1:34" x14ac:dyDescent="0.25">
      <c r="A13" s="128">
        <f t="shared" si="1"/>
        <v>2</v>
      </c>
      <c r="B13" s="137">
        <v>10</v>
      </c>
      <c r="C13" s="143"/>
      <c r="D13" s="145"/>
      <c r="E13" s="143"/>
      <c r="F13" s="143"/>
      <c r="G13" s="144"/>
      <c r="H13" s="144"/>
      <c r="I13" s="145"/>
      <c r="J13" s="146"/>
      <c r="K13" s="147"/>
      <c r="L13" s="128"/>
      <c r="M13" s="148"/>
      <c r="N13" s="149"/>
      <c r="O13" s="149"/>
      <c r="P13" s="149"/>
      <c r="Q13" s="149"/>
      <c r="R13" s="149"/>
      <c r="S13" s="149"/>
      <c r="T13" s="149"/>
      <c r="U13" s="149"/>
      <c r="V13" s="149"/>
      <c r="W13" s="149"/>
      <c r="X13" s="149"/>
      <c r="Y13" s="149"/>
      <c r="Z13" s="149"/>
      <c r="AA13" s="149"/>
      <c r="AB13" s="149"/>
      <c r="AC13" s="149"/>
      <c r="AD13" s="149"/>
      <c r="AE13" s="149"/>
      <c r="AF13" s="150"/>
      <c r="AG13" s="128"/>
      <c r="AH13" s="128"/>
    </row>
    <row r="14" spans="1:34" x14ac:dyDescent="0.25">
      <c r="A14" s="128">
        <f t="shared" si="1"/>
        <v>2</v>
      </c>
      <c r="B14" s="137">
        <v>11</v>
      </c>
      <c r="C14" s="143"/>
      <c r="D14" s="143"/>
      <c r="E14" s="143"/>
      <c r="F14" s="143"/>
      <c r="G14" s="143"/>
      <c r="H14" s="143"/>
      <c r="I14" s="143"/>
      <c r="J14" s="144"/>
      <c r="K14" s="143"/>
      <c r="L14" s="128"/>
      <c r="M14" s="148"/>
      <c r="N14" s="155" t="s">
        <v>90</v>
      </c>
      <c r="O14" s="149"/>
      <c r="P14" s="149"/>
      <c r="Q14" s="149"/>
      <c r="R14" s="149"/>
      <c r="S14" s="149"/>
      <c r="T14" s="149"/>
      <c r="U14" s="149"/>
      <c r="V14" s="149"/>
      <c r="W14" s="149"/>
      <c r="X14" s="149"/>
      <c r="Y14" s="149"/>
      <c r="Z14" s="152" t="str">
        <f>TEXT(VLOOKUP(2,Pensions,11,FALSE),"$#,###.##")</f>
        <v>$124,533.45</v>
      </c>
      <c r="AA14" s="153"/>
      <c r="AB14" s="153"/>
      <c r="AC14" s="153"/>
      <c r="AD14" s="153"/>
      <c r="AE14" s="154"/>
      <c r="AF14" s="150"/>
      <c r="AG14" s="128"/>
      <c r="AH14" s="128"/>
    </row>
    <row r="15" spans="1:34" x14ac:dyDescent="0.25">
      <c r="A15" s="128">
        <f t="shared" si="1"/>
        <v>2</v>
      </c>
      <c r="B15" s="137">
        <v>12</v>
      </c>
      <c r="C15" s="143"/>
      <c r="D15" s="143"/>
      <c r="E15" s="143"/>
      <c r="F15" s="143"/>
      <c r="G15" s="143"/>
      <c r="H15" s="143"/>
      <c r="I15" s="143"/>
      <c r="J15" s="144"/>
      <c r="K15" s="143"/>
      <c r="L15" s="128"/>
      <c r="M15" s="148"/>
      <c r="N15" s="149"/>
      <c r="O15" s="149"/>
      <c r="P15" s="149"/>
      <c r="Q15" s="149"/>
      <c r="R15" s="149"/>
      <c r="S15" s="149"/>
      <c r="T15" s="149"/>
      <c r="U15" s="149"/>
      <c r="V15" s="149"/>
      <c r="W15" s="149"/>
      <c r="X15" s="149"/>
      <c r="Y15" s="149"/>
      <c r="Z15" s="149"/>
      <c r="AA15" s="149"/>
      <c r="AB15" s="149"/>
      <c r="AC15" s="149"/>
      <c r="AD15" s="149"/>
      <c r="AE15" s="149"/>
      <c r="AF15" s="150"/>
      <c r="AG15" s="128"/>
      <c r="AH15" s="128"/>
    </row>
    <row r="16" spans="1:34" x14ac:dyDescent="0.25">
      <c r="A16" s="128">
        <f t="shared" si="1"/>
        <v>2</v>
      </c>
      <c r="B16" s="137">
        <v>13</v>
      </c>
      <c r="C16" s="143"/>
      <c r="D16" s="143"/>
      <c r="E16" s="143"/>
      <c r="F16" s="143"/>
      <c r="G16" s="143"/>
      <c r="H16" s="143"/>
      <c r="I16" s="143"/>
      <c r="J16" s="144"/>
      <c r="K16" s="143"/>
      <c r="L16" s="128"/>
      <c r="M16" s="341" t="s">
        <v>91</v>
      </c>
      <c r="N16" s="342"/>
      <c r="O16" s="342"/>
      <c r="P16" s="342"/>
      <c r="Q16" s="342"/>
      <c r="R16" s="342"/>
      <c r="S16" s="342"/>
      <c r="T16" s="342"/>
      <c r="U16" s="342"/>
      <c r="V16" s="342"/>
      <c r="W16" s="342"/>
      <c r="X16" s="342"/>
      <c r="Y16" s="342"/>
      <c r="Z16" s="342"/>
      <c r="AA16" s="342"/>
      <c r="AB16" s="342"/>
      <c r="AC16" s="342"/>
      <c r="AD16" s="342"/>
      <c r="AE16" s="342"/>
      <c r="AF16" s="343"/>
      <c r="AG16" s="128"/>
      <c r="AH16" s="128"/>
    </row>
    <row r="17" spans="1:34" ht="16.5" thickBot="1" x14ac:dyDescent="0.3">
      <c r="A17" s="128">
        <f t="shared" si="1"/>
        <v>2</v>
      </c>
      <c r="B17" s="137">
        <v>14</v>
      </c>
      <c r="C17" s="143"/>
      <c r="D17" s="143"/>
      <c r="E17" s="143"/>
      <c r="F17" s="143"/>
      <c r="G17" s="143"/>
      <c r="H17" s="143"/>
      <c r="I17" s="143"/>
      <c r="J17" s="144"/>
      <c r="K17" s="143"/>
      <c r="L17" s="128"/>
      <c r="M17" s="157"/>
      <c r="N17" s="158"/>
      <c r="O17" s="158"/>
      <c r="P17" s="158"/>
      <c r="Q17" s="158"/>
      <c r="R17" s="158"/>
      <c r="S17" s="158"/>
      <c r="T17" s="158"/>
      <c r="U17" s="158"/>
      <c r="V17" s="158"/>
      <c r="W17" s="158"/>
      <c r="X17" s="158"/>
      <c r="Y17" s="158"/>
      <c r="Z17" s="158"/>
      <c r="AA17" s="158"/>
      <c r="AB17" s="158"/>
      <c r="AC17" s="158"/>
      <c r="AD17" s="158"/>
      <c r="AE17" s="158"/>
      <c r="AF17" s="159"/>
      <c r="AG17" s="128"/>
      <c r="AH17" s="128"/>
    </row>
    <row r="18" spans="1:34" x14ac:dyDescent="0.25">
      <c r="A18" s="128">
        <f t="shared" si="1"/>
        <v>2</v>
      </c>
      <c r="B18" s="137">
        <v>15</v>
      </c>
      <c r="C18" s="143"/>
      <c r="D18" s="143"/>
      <c r="E18" s="143"/>
      <c r="F18" s="143"/>
      <c r="G18" s="143"/>
      <c r="H18" s="143"/>
      <c r="I18" s="143"/>
      <c r="J18" s="144"/>
      <c r="K18" s="143"/>
      <c r="L18" s="128"/>
      <c r="M18" s="128"/>
      <c r="N18" s="128"/>
      <c r="O18" s="128"/>
      <c r="P18" s="128"/>
      <c r="Q18" s="128"/>
      <c r="R18" s="128"/>
      <c r="S18" s="128"/>
      <c r="T18" s="128"/>
      <c r="U18" s="128"/>
      <c r="V18" s="128"/>
      <c r="W18" s="128"/>
      <c r="X18" s="128"/>
      <c r="Y18" s="128"/>
      <c r="Z18" s="128"/>
      <c r="AA18" s="128"/>
      <c r="AB18" s="128"/>
      <c r="AC18" s="128"/>
      <c r="AD18" s="128"/>
      <c r="AE18" s="128"/>
      <c r="AF18" s="128"/>
      <c r="AG18" s="128"/>
      <c r="AH18" s="128"/>
    </row>
    <row r="19" spans="1:34" x14ac:dyDescent="0.25">
      <c r="A19" s="128">
        <f t="shared" si="1"/>
        <v>2</v>
      </c>
      <c r="B19" s="137">
        <v>16</v>
      </c>
      <c r="C19" s="143"/>
      <c r="D19" s="143"/>
      <c r="E19" s="143"/>
      <c r="F19" s="143"/>
      <c r="G19" s="143"/>
      <c r="H19" s="143"/>
      <c r="I19" s="143"/>
      <c r="J19" s="144"/>
      <c r="K19" s="143"/>
      <c r="L19" s="128"/>
      <c r="M19" s="128"/>
      <c r="N19" s="128"/>
      <c r="O19" s="128"/>
      <c r="P19" s="128"/>
      <c r="Q19" s="128"/>
      <c r="R19" s="128"/>
      <c r="S19" s="128"/>
      <c r="T19" s="128"/>
      <c r="U19" s="128"/>
      <c r="V19" s="128"/>
      <c r="W19" s="128"/>
      <c r="X19" s="128"/>
      <c r="Y19" s="128"/>
      <c r="Z19" s="128"/>
      <c r="AA19" s="128"/>
      <c r="AB19" s="128"/>
      <c r="AC19" s="128"/>
      <c r="AD19" s="128"/>
      <c r="AE19" s="128"/>
      <c r="AF19" s="128"/>
      <c r="AG19" s="128"/>
      <c r="AH19" s="128"/>
    </row>
    <row r="20" spans="1:34" x14ac:dyDescent="0.25">
      <c r="A20" s="128">
        <f t="shared" si="1"/>
        <v>2</v>
      </c>
      <c r="B20" s="137">
        <v>17</v>
      </c>
      <c r="C20" s="143"/>
      <c r="D20" s="143"/>
      <c r="E20" s="143"/>
      <c r="F20" s="143"/>
      <c r="G20" s="143"/>
      <c r="H20" s="143"/>
      <c r="I20" s="143"/>
      <c r="J20" s="144"/>
      <c r="K20" s="143"/>
      <c r="L20" s="128"/>
      <c r="M20" s="128"/>
      <c r="N20" s="128"/>
      <c r="O20" s="128"/>
      <c r="P20" s="128"/>
      <c r="Q20" s="128"/>
      <c r="R20" s="128"/>
      <c r="S20" s="128"/>
      <c r="T20" s="128"/>
      <c r="U20" s="128"/>
      <c r="V20" s="128"/>
      <c r="W20" s="128"/>
      <c r="X20" s="128"/>
      <c r="Y20" s="128"/>
      <c r="Z20" s="128"/>
      <c r="AA20" s="128"/>
      <c r="AB20" s="128"/>
      <c r="AC20" s="128"/>
      <c r="AD20" s="128"/>
      <c r="AE20" s="128"/>
      <c r="AF20" s="128"/>
      <c r="AG20" s="128"/>
      <c r="AH20" s="128"/>
    </row>
    <row r="21" spans="1:34" x14ac:dyDescent="0.25">
      <c r="A21" s="128">
        <f t="shared" si="1"/>
        <v>2</v>
      </c>
      <c r="B21" s="137">
        <v>18</v>
      </c>
      <c r="C21" s="143"/>
      <c r="D21" s="143"/>
      <c r="E21" s="143"/>
      <c r="F21" s="143"/>
      <c r="G21" s="143"/>
      <c r="H21" s="143"/>
      <c r="I21" s="143"/>
      <c r="J21" s="144"/>
      <c r="K21" s="143"/>
      <c r="L21" s="128"/>
      <c r="M21" s="128"/>
      <c r="N21" s="128"/>
      <c r="O21" s="128"/>
      <c r="P21" s="128"/>
      <c r="Q21" s="128"/>
      <c r="R21" s="128"/>
      <c r="S21" s="128"/>
      <c r="T21" s="128"/>
      <c r="U21" s="128"/>
      <c r="V21" s="128"/>
      <c r="W21" s="128"/>
      <c r="X21" s="128"/>
      <c r="Y21" s="128"/>
      <c r="Z21" s="128"/>
      <c r="AA21" s="128"/>
      <c r="AB21" s="128"/>
      <c r="AC21" s="128"/>
      <c r="AD21" s="128"/>
      <c r="AE21" s="128"/>
      <c r="AF21" s="128"/>
      <c r="AG21" s="128"/>
      <c r="AH21" s="128"/>
    </row>
    <row r="22" spans="1:34" x14ac:dyDescent="0.25">
      <c r="A22" s="128">
        <f t="shared" si="1"/>
        <v>2</v>
      </c>
      <c r="B22" s="137">
        <v>19</v>
      </c>
      <c r="C22" s="143"/>
      <c r="D22" s="143"/>
      <c r="E22" s="143"/>
      <c r="F22" s="143"/>
      <c r="G22" s="143"/>
      <c r="H22" s="143"/>
      <c r="I22" s="143"/>
      <c r="J22" s="144"/>
      <c r="K22" s="143"/>
      <c r="L22" s="128"/>
      <c r="M22" s="128"/>
      <c r="N22" s="128"/>
      <c r="O22" s="128"/>
      <c r="P22" s="128"/>
      <c r="Q22" s="128"/>
      <c r="R22" s="128"/>
      <c r="S22" s="128"/>
      <c r="T22" s="128"/>
      <c r="U22" s="128"/>
      <c r="V22" s="128"/>
      <c r="W22" s="128"/>
      <c r="X22" s="128"/>
      <c r="Y22" s="128"/>
      <c r="Z22" s="128"/>
      <c r="AA22" s="128"/>
      <c r="AB22" s="128"/>
      <c r="AC22" s="128"/>
      <c r="AD22" s="128"/>
      <c r="AE22" s="128"/>
      <c r="AF22" s="128"/>
      <c r="AG22" s="128"/>
      <c r="AH22" s="128"/>
    </row>
    <row r="23" spans="1:34" x14ac:dyDescent="0.25">
      <c r="A23" s="128">
        <f t="shared" si="1"/>
        <v>2</v>
      </c>
      <c r="B23" s="137">
        <v>20</v>
      </c>
      <c r="C23" s="143"/>
      <c r="D23" s="143"/>
      <c r="E23" s="143"/>
      <c r="F23" s="143"/>
      <c r="G23" s="143"/>
      <c r="H23" s="143"/>
      <c r="I23" s="143"/>
      <c r="J23" s="144"/>
      <c r="K23" s="143"/>
      <c r="L23" s="128"/>
      <c r="M23" s="128"/>
      <c r="N23" s="128"/>
      <c r="O23" s="128"/>
      <c r="P23" s="128"/>
      <c r="Q23" s="128"/>
      <c r="R23" s="128"/>
      <c r="S23" s="128"/>
      <c r="T23" s="128"/>
      <c r="U23" s="128"/>
      <c r="V23" s="128"/>
      <c r="W23" s="128"/>
      <c r="X23" s="128"/>
      <c r="Y23" s="128"/>
      <c r="Z23" s="128"/>
      <c r="AA23" s="128"/>
      <c r="AB23" s="128"/>
      <c r="AC23" s="128"/>
      <c r="AD23" s="128"/>
      <c r="AE23" s="128"/>
      <c r="AF23" s="128"/>
      <c r="AG23" s="128"/>
      <c r="AH23" s="128"/>
    </row>
    <row r="24" spans="1:34" x14ac:dyDescent="0.25">
      <c r="A24" s="128">
        <f t="shared" si="1"/>
        <v>2</v>
      </c>
      <c r="B24" s="137">
        <v>21</v>
      </c>
      <c r="C24" s="143"/>
      <c r="D24" s="143"/>
      <c r="E24" s="143"/>
      <c r="F24" s="143"/>
      <c r="G24" s="143"/>
      <c r="H24" s="143"/>
      <c r="I24" s="143"/>
      <c r="J24" s="144"/>
      <c r="K24" s="143"/>
      <c r="L24" s="128"/>
      <c r="M24" s="128"/>
      <c r="N24" s="128"/>
      <c r="O24" s="128"/>
      <c r="P24" s="128"/>
      <c r="Q24" s="128"/>
      <c r="R24" s="128"/>
      <c r="S24" s="128"/>
      <c r="T24" s="128"/>
      <c r="U24" s="128"/>
      <c r="V24" s="128"/>
      <c r="W24" s="128"/>
      <c r="X24" s="128"/>
      <c r="Y24" s="128"/>
      <c r="Z24" s="128"/>
      <c r="AA24" s="128"/>
      <c r="AB24" s="128"/>
      <c r="AC24" s="128"/>
      <c r="AD24" s="128"/>
      <c r="AE24" s="128"/>
      <c r="AF24" s="128"/>
      <c r="AG24" s="128"/>
      <c r="AH24" s="128"/>
    </row>
    <row r="25" spans="1:34" x14ac:dyDescent="0.25">
      <c r="A25" s="128">
        <f t="shared" si="1"/>
        <v>2</v>
      </c>
      <c r="B25" s="137">
        <v>22</v>
      </c>
      <c r="C25" s="143"/>
      <c r="D25" s="143"/>
      <c r="E25" s="143"/>
      <c r="F25" s="143"/>
      <c r="G25" s="143"/>
      <c r="H25" s="143"/>
      <c r="I25" s="143"/>
      <c r="J25" s="144"/>
      <c r="K25" s="143"/>
      <c r="L25" s="128"/>
      <c r="M25" s="128"/>
      <c r="N25" s="128"/>
      <c r="O25" s="128"/>
      <c r="P25" s="128"/>
      <c r="Q25" s="128"/>
      <c r="R25" s="128"/>
      <c r="S25" s="128"/>
      <c r="T25" s="128"/>
      <c r="U25" s="128"/>
      <c r="V25" s="128"/>
      <c r="W25" s="128"/>
      <c r="X25" s="128"/>
      <c r="Y25" s="128"/>
      <c r="Z25" s="128"/>
      <c r="AA25" s="128"/>
      <c r="AB25" s="128"/>
      <c r="AC25" s="128"/>
      <c r="AD25" s="128"/>
      <c r="AE25" s="128"/>
      <c r="AF25" s="128"/>
      <c r="AG25" s="128"/>
      <c r="AH25" s="128"/>
    </row>
    <row r="26" spans="1:34" x14ac:dyDescent="0.25">
      <c r="A26" s="128">
        <f t="shared" si="1"/>
        <v>2</v>
      </c>
      <c r="B26" s="137">
        <v>23</v>
      </c>
      <c r="C26" s="143"/>
      <c r="D26" s="143"/>
      <c r="E26" s="143"/>
      <c r="F26" s="143"/>
      <c r="G26" s="143"/>
      <c r="H26" s="143"/>
      <c r="I26" s="143"/>
      <c r="J26" s="144"/>
      <c r="K26" s="143"/>
      <c r="L26" s="128"/>
      <c r="M26" s="128"/>
      <c r="N26" s="128"/>
      <c r="O26" s="128"/>
      <c r="P26" s="128"/>
      <c r="Q26" s="128"/>
      <c r="R26" s="128"/>
      <c r="S26" s="128"/>
      <c r="T26" s="128"/>
      <c r="U26" s="128"/>
      <c r="V26" s="128"/>
      <c r="W26" s="128"/>
      <c r="X26" s="128"/>
      <c r="Y26" s="128"/>
      <c r="Z26" s="128"/>
      <c r="AA26" s="128"/>
      <c r="AB26" s="128"/>
      <c r="AC26" s="128"/>
      <c r="AD26" s="128"/>
      <c r="AE26" s="128"/>
      <c r="AF26" s="128"/>
      <c r="AG26" s="128"/>
      <c r="AH26" s="128"/>
    </row>
    <row r="27" spans="1:34" x14ac:dyDescent="0.25">
      <c r="A27" s="128">
        <f t="shared" si="1"/>
        <v>2</v>
      </c>
      <c r="B27" s="137">
        <v>24</v>
      </c>
      <c r="C27" s="143"/>
      <c r="D27" s="143"/>
      <c r="E27" s="143"/>
      <c r="F27" s="143"/>
      <c r="G27" s="143"/>
      <c r="H27" s="143"/>
      <c r="I27" s="143"/>
      <c r="J27" s="144"/>
      <c r="K27" s="143"/>
      <c r="L27" s="128"/>
      <c r="M27" s="128"/>
      <c r="N27" s="128"/>
      <c r="O27" s="128"/>
      <c r="P27" s="128"/>
      <c r="Q27" s="128"/>
      <c r="R27" s="128"/>
      <c r="S27" s="128"/>
      <c r="T27" s="128"/>
      <c r="U27" s="128"/>
      <c r="V27" s="128"/>
      <c r="W27" s="128"/>
      <c r="X27" s="128"/>
      <c r="Y27" s="128"/>
      <c r="Z27" s="128"/>
      <c r="AA27" s="128"/>
      <c r="AB27" s="128"/>
      <c r="AC27" s="128"/>
      <c r="AD27" s="128"/>
      <c r="AE27" s="128"/>
      <c r="AF27" s="128"/>
      <c r="AG27" s="128"/>
      <c r="AH27" s="128"/>
    </row>
    <row r="28" spans="1:34" x14ac:dyDescent="0.25">
      <c r="A28" s="128">
        <f t="shared" si="1"/>
        <v>2</v>
      </c>
      <c r="B28" s="137">
        <v>25</v>
      </c>
      <c r="C28" s="143"/>
      <c r="D28" s="143"/>
      <c r="E28" s="143"/>
      <c r="F28" s="143"/>
      <c r="G28" s="143"/>
      <c r="H28" s="143"/>
      <c r="I28" s="143"/>
      <c r="J28" s="144"/>
      <c r="K28" s="143"/>
      <c r="L28" s="128"/>
      <c r="M28" s="128"/>
      <c r="N28" s="128"/>
      <c r="O28" s="128"/>
      <c r="P28" s="128"/>
      <c r="Q28" s="128"/>
      <c r="R28" s="128"/>
      <c r="S28" s="128"/>
      <c r="T28" s="128"/>
      <c r="U28" s="128"/>
      <c r="V28" s="128"/>
      <c r="W28" s="128"/>
      <c r="X28" s="128"/>
      <c r="Y28" s="128"/>
      <c r="Z28" s="128"/>
      <c r="AA28" s="128"/>
      <c r="AB28" s="128"/>
      <c r="AC28" s="128"/>
      <c r="AD28" s="128"/>
      <c r="AE28" s="128"/>
      <c r="AF28" s="128"/>
      <c r="AG28" s="128"/>
      <c r="AH28" s="128"/>
    </row>
    <row r="29" spans="1:34" x14ac:dyDescent="0.25">
      <c r="A29" s="128">
        <f t="shared" si="1"/>
        <v>2</v>
      </c>
      <c r="B29" s="137">
        <v>26</v>
      </c>
      <c r="C29" s="143"/>
      <c r="D29" s="143"/>
      <c r="E29" s="143"/>
      <c r="F29" s="143"/>
      <c r="G29" s="143"/>
      <c r="H29" s="143"/>
      <c r="I29" s="143"/>
      <c r="J29" s="144"/>
      <c r="K29" s="143"/>
      <c r="L29" s="128"/>
      <c r="M29" s="128"/>
      <c r="N29" s="128"/>
      <c r="O29" s="128"/>
      <c r="P29" s="128"/>
      <c r="Q29" s="128"/>
      <c r="R29" s="128"/>
      <c r="S29" s="128"/>
      <c r="T29" s="128"/>
      <c r="U29" s="128"/>
      <c r="V29" s="128"/>
      <c r="W29" s="128"/>
      <c r="X29" s="128"/>
      <c r="Y29" s="128"/>
      <c r="Z29" s="128"/>
      <c r="AA29" s="128"/>
      <c r="AB29" s="128"/>
      <c r="AC29" s="128"/>
      <c r="AD29" s="128"/>
      <c r="AE29" s="128"/>
      <c r="AF29" s="128"/>
      <c r="AG29" s="128"/>
      <c r="AH29" s="128"/>
    </row>
    <row r="30" spans="1:34" x14ac:dyDescent="0.25">
      <c r="A30" s="128">
        <f t="shared" si="1"/>
        <v>2</v>
      </c>
      <c r="B30" s="137">
        <v>27</v>
      </c>
      <c r="C30" s="143"/>
      <c r="D30" s="143"/>
      <c r="E30" s="143"/>
      <c r="F30" s="143"/>
      <c r="G30" s="143"/>
      <c r="H30" s="143"/>
      <c r="I30" s="143"/>
      <c r="J30" s="144"/>
      <c r="K30" s="143"/>
      <c r="L30" s="128"/>
      <c r="M30" s="128"/>
      <c r="N30" s="128"/>
      <c r="O30" s="128"/>
      <c r="P30" s="128"/>
      <c r="Q30" s="128"/>
      <c r="R30" s="128"/>
      <c r="S30" s="128"/>
      <c r="T30" s="128"/>
      <c r="U30" s="128"/>
      <c r="V30" s="128"/>
      <c r="W30" s="128"/>
      <c r="X30" s="128"/>
      <c r="Y30" s="128"/>
      <c r="Z30" s="128"/>
      <c r="AA30" s="128"/>
      <c r="AB30" s="128"/>
      <c r="AC30" s="128"/>
      <c r="AD30" s="128"/>
      <c r="AE30" s="128"/>
      <c r="AF30" s="128"/>
      <c r="AG30" s="128"/>
      <c r="AH30" s="128"/>
    </row>
  </sheetData>
  <mergeCells count="2">
    <mergeCell ref="M4:AF4"/>
    <mergeCell ref="M16:AF16"/>
  </mergeCell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AG30"/>
  <sheetViews>
    <sheetView showGridLines="0" workbookViewId="0">
      <selection activeCell="R1" sqref="R1"/>
    </sheetView>
  </sheetViews>
  <sheetFormatPr defaultRowHeight="15.75" x14ac:dyDescent="0.25"/>
  <cols>
    <col min="1" max="1" width="8" bestFit="1" customWidth="1"/>
    <col min="2" max="3" width="10" bestFit="1" customWidth="1"/>
    <col min="4" max="4" width="19" bestFit="1" customWidth="1"/>
    <col min="5" max="5" width="8.375" bestFit="1" customWidth="1"/>
    <col min="6" max="6" width="5.375" bestFit="1" customWidth="1"/>
    <col min="7" max="7" width="5.875" bestFit="1" customWidth="1"/>
    <col min="8" max="8" width="11.875" bestFit="1" customWidth="1"/>
    <col min="9" max="9" width="11.875" customWidth="1"/>
    <col min="10" max="10" width="12.125" bestFit="1" customWidth="1"/>
    <col min="11" max="12" width="3.75" customWidth="1"/>
    <col min="13" max="31" width="3.625" customWidth="1"/>
    <col min="32" max="32" width="3" customWidth="1"/>
  </cols>
  <sheetData>
    <row r="1" spans="1:33" x14ac:dyDescent="0.25">
      <c r="A1" s="16"/>
      <c r="B1" s="16"/>
      <c r="C1" s="16"/>
      <c r="D1" s="16"/>
      <c r="E1" s="16"/>
      <c r="F1" s="16"/>
      <c r="G1" s="16"/>
      <c r="H1" s="16"/>
      <c r="I1" s="16"/>
      <c r="J1" s="16"/>
      <c r="K1" s="16"/>
      <c r="L1" s="16"/>
      <c r="M1" s="16"/>
      <c r="N1" s="16"/>
      <c r="O1" s="16"/>
      <c r="P1" s="16"/>
      <c r="Q1" s="16"/>
      <c r="R1" s="16"/>
      <c r="S1" s="17" t="str">
        <f t="shared" ref="S1:AB1" si="0">VLOOKUP(MAX($A$3:$A$147),$A$3:$H$147,2)</f>
        <v>Henley</v>
      </c>
      <c r="T1" s="17" t="str">
        <f t="shared" si="0"/>
        <v>Henley</v>
      </c>
      <c r="U1" s="17" t="str">
        <f t="shared" si="0"/>
        <v>Henley</v>
      </c>
      <c r="V1" s="17" t="str">
        <f t="shared" si="0"/>
        <v>Henley</v>
      </c>
      <c r="W1" s="17" t="str">
        <f t="shared" si="0"/>
        <v>Henley</v>
      </c>
      <c r="X1" s="17" t="str">
        <f t="shared" si="0"/>
        <v>Henley</v>
      </c>
      <c r="Y1" s="17" t="str">
        <f t="shared" si="0"/>
        <v>Henley</v>
      </c>
      <c r="Z1" s="17" t="str">
        <f t="shared" si="0"/>
        <v>Henley</v>
      </c>
      <c r="AA1" s="17" t="str">
        <f t="shared" si="0"/>
        <v>Henley</v>
      </c>
      <c r="AB1" s="17" t="str">
        <f t="shared" si="0"/>
        <v>Henley</v>
      </c>
      <c r="AC1" s="18"/>
      <c r="AD1" s="18"/>
      <c r="AE1" s="18"/>
      <c r="AF1" s="18"/>
      <c r="AG1" s="18"/>
    </row>
    <row r="2" spans="1:33" ht="16.5" thickBot="1" x14ac:dyDescent="0.3">
      <c r="A2" s="73"/>
      <c r="B2" s="20"/>
      <c r="C2" s="20"/>
      <c r="D2" s="20"/>
      <c r="E2" s="20"/>
      <c r="F2" s="22"/>
      <c r="G2" s="20"/>
      <c r="H2" s="20"/>
      <c r="I2" s="22"/>
      <c r="J2" s="20"/>
      <c r="K2" s="23"/>
      <c r="L2" s="160">
        <f>MAX(A:A)</f>
        <v>8</v>
      </c>
      <c r="M2" s="161" t="s">
        <v>176</v>
      </c>
      <c r="N2" s="23"/>
      <c r="O2" s="23"/>
      <c r="P2" s="23"/>
      <c r="Q2" s="23"/>
      <c r="R2" s="23"/>
      <c r="S2" s="23"/>
      <c r="T2" s="23"/>
      <c r="U2" s="23"/>
      <c r="V2" s="23"/>
      <c r="W2" s="23"/>
      <c r="X2" s="23"/>
      <c r="Y2" s="23"/>
      <c r="Z2" s="23"/>
      <c r="AA2" s="23"/>
      <c r="AB2" s="23"/>
      <c r="AC2" s="23"/>
      <c r="AD2" s="23"/>
      <c r="AE2" s="23"/>
      <c r="AF2" s="23"/>
      <c r="AG2" s="23"/>
    </row>
    <row r="3" spans="1:33" x14ac:dyDescent="0.25">
      <c r="A3" s="68" t="s">
        <v>38</v>
      </c>
      <c r="B3" s="69" t="s">
        <v>39</v>
      </c>
      <c r="C3" s="69" t="s">
        <v>40</v>
      </c>
      <c r="D3" s="69" t="s">
        <v>41</v>
      </c>
      <c r="E3" s="68" t="s">
        <v>42</v>
      </c>
      <c r="F3" s="68" t="s">
        <v>43</v>
      </c>
      <c r="G3" s="68" t="s">
        <v>44</v>
      </c>
      <c r="H3" s="68" t="s">
        <v>45</v>
      </c>
      <c r="I3" s="68" t="s">
        <v>46</v>
      </c>
      <c r="J3" s="68" t="s">
        <v>47</v>
      </c>
      <c r="K3" s="23"/>
      <c r="L3" s="29"/>
      <c r="M3" s="30"/>
      <c r="N3" s="30"/>
      <c r="O3" s="30"/>
      <c r="P3" s="30"/>
      <c r="Q3" s="30"/>
      <c r="R3" s="30"/>
      <c r="S3" s="30"/>
      <c r="T3" s="30"/>
      <c r="U3" s="30"/>
      <c r="V3" s="30"/>
      <c r="W3" s="30"/>
      <c r="X3" s="30"/>
      <c r="Y3" s="30"/>
      <c r="Z3" s="30"/>
      <c r="AA3" s="30"/>
      <c r="AB3" s="30"/>
      <c r="AC3" s="30"/>
      <c r="AD3" s="30"/>
      <c r="AE3" s="31"/>
      <c r="AF3" s="23"/>
      <c r="AG3" s="23"/>
    </row>
    <row r="4" spans="1:33" x14ac:dyDescent="0.25">
      <c r="A4" s="32">
        <v>1</v>
      </c>
      <c r="B4" s="33" t="s">
        <v>48</v>
      </c>
      <c r="C4" s="34" t="s">
        <v>49</v>
      </c>
      <c r="D4" s="34" t="s">
        <v>50</v>
      </c>
      <c r="E4" s="34" t="s">
        <v>51</v>
      </c>
      <c r="F4" s="35" t="s">
        <v>52</v>
      </c>
      <c r="G4" s="35">
        <v>30062</v>
      </c>
      <c r="H4" s="33" t="s">
        <v>53</v>
      </c>
      <c r="I4" s="37" t="s">
        <v>54</v>
      </c>
      <c r="J4" s="70">
        <v>157665</v>
      </c>
      <c r="K4" s="23"/>
      <c r="L4" s="300" t="s">
        <v>55</v>
      </c>
      <c r="M4" s="301"/>
      <c r="N4" s="301"/>
      <c r="O4" s="301"/>
      <c r="P4" s="301"/>
      <c r="Q4" s="301"/>
      <c r="R4" s="301"/>
      <c r="S4" s="301"/>
      <c r="T4" s="301"/>
      <c r="U4" s="301"/>
      <c r="V4" s="301"/>
      <c r="W4" s="301"/>
      <c r="X4" s="301"/>
      <c r="Y4" s="301"/>
      <c r="Z4" s="301"/>
      <c r="AA4" s="301"/>
      <c r="AB4" s="301"/>
      <c r="AC4" s="301"/>
      <c r="AD4" s="301"/>
      <c r="AE4" s="302"/>
      <c r="AF4" s="23"/>
      <c r="AG4" s="23"/>
    </row>
    <row r="5" spans="1:33" x14ac:dyDescent="0.25">
      <c r="A5" s="32">
        <f t="shared" ref="A5:A30" si="1">IF(COUNTBLANK(B5:J5)=9,"",A4+1)</f>
        <v>2</v>
      </c>
      <c r="B5" s="39" t="s">
        <v>56</v>
      </c>
      <c r="C5" s="39" t="s">
        <v>57</v>
      </c>
      <c r="D5" s="39" t="s">
        <v>58</v>
      </c>
      <c r="E5" s="39" t="s">
        <v>51</v>
      </c>
      <c r="F5" s="40" t="s">
        <v>52</v>
      </c>
      <c r="G5" s="40">
        <v>30063</v>
      </c>
      <c r="H5" s="42" t="s">
        <v>59</v>
      </c>
      <c r="I5" s="43" t="s">
        <v>60</v>
      </c>
      <c r="J5" s="71">
        <v>156340</v>
      </c>
      <c r="K5" s="23"/>
      <c r="L5" s="45"/>
      <c r="M5" s="46"/>
      <c r="N5" s="46"/>
      <c r="O5" s="46"/>
      <c r="P5" s="46"/>
      <c r="Q5" s="46"/>
      <c r="R5" s="46"/>
      <c r="S5" s="46"/>
      <c r="T5" s="46"/>
      <c r="U5" s="46"/>
      <c r="V5" s="46"/>
      <c r="W5" s="46"/>
      <c r="X5" s="46"/>
      <c r="Y5" s="46"/>
      <c r="Z5" s="46"/>
      <c r="AA5" s="46"/>
      <c r="AB5" s="46"/>
      <c r="AC5" s="46"/>
      <c r="AD5" s="46"/>
      <c r="AE5" s="47"/>
      <c r="AF5" s="23"/>
      <c r="AG5" s="23"/>
    </row>
    <row r="6" spans="1:33" x14ac:dyDescent="0.25">
      <c r="A6" s="32">
        <f t="shared" si="1"/>
        <v>3</v>
      </c>
      <c r="B6" s="39" t="s">
        <v>61</v>
      </c>
      <c r="C6" s="42" t="s">
        <v>62</v>
      </c>
      <c r="D6" s="39" t="s">
        <v>63</v>
      </c>
      <c r="E6" s="39" t="s">
        <v>51</v>
      </c>
      <c r="F6" s="40" t="s">
        <v>52</v>
      </c>
      <c r="G6" s="40">
        <v>30064</v>
      </c>
      <c r="H6" s="42" t="s">
        <v>64</v>
      </c>
      <c r="I6" s="43" t="s">
        <v>65</v>
      </c>
      <c r="J6" s="71">
        <v>81480</v>
      </c>
      <c r="K6" s="23"/>
      <c r="L6" s="45"/>
      <c r="M6" s="48" t="s">
        <v>39</v>
      </c>
      <c r="N6" s="46"/>
      <c r="O6" s="46"/>
      <c r="P6" s="306" t="str">
        <f>VLOOKUP($L$2,$A:$J,2,FALSE)</f>
        <v>Henley</v>
      </c>
      <c r="Q6" s="314"/>
      <c r="R6" s="314"/>
      <c r="S6" s="314"/>
      <c r="T6" s="314"/>
      <c r="U6" s="315"/>
      <c r="V6" s="46"/>
      <c r="W6" s="52" t="s">
        <v>42</v>
      </c>
      <c r="X6" s="46"/>
      <c r="Y6" s="306" t="str">
        <f>VLOOKUP($L$2,$A:$J,5,FALSE)</f>
        <v>Chicago</v>
      </c>
      <c r="Z6" s="314"/>
      <c r="AA6" s="314"/>
      <c r="AB6" s="314"/>
      <c r="AC6" s="314"/>
      <c r="AD6" s="315"/>
      <c r="AE6" s="47"/>
      <c r="AF6" s="23"/>
      <c r="AG6" s="23"/>
    </row>
    <row r="7" spans="1:33" x14ac:dyDescent="0.25">
      <c r="A7" s="32">
        <f t="shared" si="1"/>
        <v>4</v>
      </c>
      <c r="B7" s="39" t="s">
        <v>66</v>
      </c>
      <c r="C7" s="42" t="s">
        <v>67</v>
      </c>
      <c r="D7" s="39" t="s">
        <v>68</v>
      </c>
      <c r="E7" s="39" t="s">
        <v>51</v>
      </c>
      <c r="F7" s="40" t="s">
        <v>52</v>
      </c>
      <c r="G7" s="40">
        <v>30065</v>
      </c>
      <c r="H7" s="42" t="s">
        <v>69</v>
      </c>
      <c r="I7" s="43" t="s">
        <v>54</v>
      </c>
      <c r="J7" s="71">
        <v>202578</v>
      </c>
      <c r="K7" s="23"/>
      <c r="L7" s="45"/>
      <c r="M7" s="46"/>
      <c r="N7" s="46"/>
      <c r="O7" s="46"/>
      <c r="P7" s="46"/>
      <c r="Q7" s="46"/>
      <c r="R7" s="46"/>
      <c r="S7" s="46"/>
      <c r="T7" s="46"/>
      <c r="U7" s="46"/>
      <c r="V7" s="46"/>
      <c r="W7" s="46"/>
      <c r="X7" s="46"/>
      <c r="Y7" s="46"/>
      <c r="Z7" s="46"/>
      <c r="AA7" s="46"/>
      <c r="AB7" s="46"/>
      <c r="AC7" s="46"/>
      <c r="AD7" s="46"/>
      <c r="AE7" s="47"/>
      <c r="AF7" s="23"/>
      <c r="AG7" s="23"/>
    </row>
    <row r="8" spans="1:33" x14ac:dyDescent="0.25">
      <c r="A8" s="32">
        <f t="shared" si="1"/>
        <v>5</v>
      </c>
      <c r="B8" s="42" t="s">
        <v>70</v>
      </c>
      <c r="C8" s="39" t="s">
        <v>71</v>
      </c>
      <c r="D8" s="39" t="s">
        <v>72</v>
      </c>
      <c r="E8" s="39" t="s">
        <v>51</v>
      </c>
      <c r="F8" s="40" t="s">
        <v>52</v>
      </c>
      <c r="G8" s="40">
        <v>30066</v>
      </c>
      <c r="H8" s="42" t="s">
        <v>73</v>
      </c>
      <c r="I8" s="43" t="s">
        <v>60</v>
      </c>
      <c r="J8" s="71">
        <v>177209</v>
      </c>
      <c r="K8" s="23"/>
      <c r="L8" s="45"/>
      <c r="M8" s="48" t="s">
        <v>40</v>
      </c>
      <c r="N8" s="46"/>
      <c r="O8" s="46"/>
      <c r="P8" s="306" t="str">
        <f>VLOOKUP($L$2,$A:$J,3,FALSE)</f>
        <v>Peter</v>
      </c>
      <c r="Q8" s="314"/>
      <c r="R8" s="314"/>
      <c r="S8" s="314"/>
      <c r="T8" s="314"/>
      <c r="U8" s="315"/>
      <c r="V8" s="46"/>
      <c r="W8" s="52" t="s">
        <v>43</v>
      </c>
      <c r="X8" s="46"/>
      <c r="Y8" s="306" t="str">
        <f>VLOOKUP($L$2,$A:$J,6,FALSE)</f>
        <v>IL</v>
      </c>
      <c r="Z8" s="314"/>
      <c r="AA8" s="314"/>
      <c r="AB8" s="314"/>
      <c r="AC8" s="314"/>
      <c r="AD8" s="315"/>
      <c r="AE8" s="47"/>
      <c r="AF8" s="23"/>
      <c r="AG8" s="23"/>
    </row>
    <row r="9" spans="1:33" x14ac:dyDescent="0.25">
      <c r="A9" s="32">
        <f t="shared" si="1"/>
        <v>6</v>
      </c>
      <c r="B9" s="39" t="s">
        <v>74</v>
      </c>
      <c r="C9" s="39" t="s">
        <v>75</v>
      </c>
      <c r="D9" s="39" t="s">
        <v>76</v>
      </c>
      <c r="E9" s="39" t="s">
        <v>77</v>
      </c>
      <c r="F9" s="40" t="s">
        <v>52</v>
      </c>
      <c r="G9" s="40">
        <v>30092</v>
      </c>
      <c r="H9" s="42" t="s">
        <v>78</v>
      </c>
      <c r="I9" s="43" t="s">
        <v>65</v>
      </c>
      <c r="J9" s="71">
        <v>212254.23</v>
      </c>
      <c r="K9" s="23"/>
      <c r="L9" s="45"/>
      <c r="M9" s="46"/>
      <c r="N9" s="46"/>
      <c r="O9" s="46"/>
      <c r="P9" s="46"/>
      <c r="Q9" s="46"/>
      <c r="R9" s="46"/>
      <c r="S9" s="46"/>
      <c r="T9" s="46"/>
      <c r="U9" s="46"/>
      <c r="V9" s="46"/>
      <c r="W9" s="46"/>
      <c r="X9" s="46"/>
      <c r="Y9" s="46"/>
      <c r="Z9" s="46"/>
      <c r="AA9" s="46"/>
      <c r="AB9" s="46"/>
      <c r="AC9" s="46"/>
      <c r="AD9" s="46"/>
      <c r="AE9" s="47"/>
      <c r="AF9" s="23"/>
      <c r="AG9" s="23"/>
    </row>
    <row r="10" spans="1:33" x14ac:dyDescent="0.25">
      <c r="A10" s="32">
        <f t="shared" si="1"/>
        <v>7</v>
      </c>
      <c r="B10" s="39" t="s">
        <v>79</v>
      </c>
      <c r="C10" s="39" t="s">
        <v>80</v>
      </c>
      <c r="D10" s="39" t="s">
        <v>50</v>
      </c>
      <c r="E10" s="39" t="s">
        <v>81</v>
      </c>
      <c r="F10" s="40" t="s">
        <v>82</v>
      </c>
      <c r="G10" s="40">
        <v>30092</v>
      </c>
      <c r="H10" s="42" t="s">
        <v>53</v>
      </c>
      <c r="I10" s="43" t="s">
        <v>54</v>
      </c>
      <c r="J10" s="71">
        <v>124533.45</v>
      </c>
      <c r="K10" s="23"/>
      <c r="L10" s="45"/>
      <c r="M10" s="48" t="s">
        <v>41</v>
      </c>
      <c r="N10" s="46"/>
      <c r="O10" s="46"/>
      <c r="P10" s="306" t="str">
        <f>VLOOKUP($L$2,$A:$J,4,FALSE)</f>
        <v>1 N. Wacker Dr.</v>
      </c>
      <c r="Q10" s="314"/>
      <c r="R10" s="314"/>
      <c r="S10" s="314"/>
      <c r="T10" s="314"/>
      <c r="U10" s="315"/>
      <c r="V10" s="46"/>
      <c r="W10" s="52" t="s">
        <v>44</v>
      </c>
      <c r="X10" s="46"/>
      <c r="Y10" s="311">
        <f>VLOOKUP($L$2,$A:$J,7,FALSE)</f>
        <v>60606</v>
      </c>
      <c r="Z10" s="312"/>
      <c r="AA10" s="312"/>
      <c r="AB10" s="312"/>
      <c r="AC10" s="312"/>
      <c r="AD10" s="313"/>
      <c r="AE10" s="47"/>
      <c r="AF10" s="23"/>
      <c r="AG10" s="23"/>
    </row>
    <row r="11" spans="1:33" x14ac:dyDescent="0.25">
      <c r="A11" s="32">
        <f t="shared" si="1"/>
        <v>8</v>
      </c>
      <c r="B11" s="39" t="s">
        <v>177</v>
      </c>
      <c r="C11" s="39" t="s">
        <v>178</v>
      </c>
      <c r="D11" s="39" t="s">
        <v>179</v>
      </c>
      <c r="E11" s="39" t="s">
        <v>138</v>
      </c>
      <c r="F11" s="40" t="s">
        <v>139</v>
      </c>
      <c r="G11" s="39">
        <v>60606</v>
      </c>
      <c r="H11" s="39" t="s">
        <v>180</v>
      </c>
      <c r="I11" s="40" t="s">
        <v>54</v>
      </c>
      <c r="J11" s="71">
        <v>999999</v>
      </c>
      <c r="K11" s="23"/>
      <c r="L11" s="45"/>
      <c r="M11" s="46"/>
      <c r="N11" s="46"/>
      <c r="O11" s="46"/>
      <c r="P11" s="46"/>
      <c r="Q11" s="46"/>
      <c r="R11" s="46"/>
      <c r="S11" s="46"/>
      <c r="T11" s="46"/>
      <c r="U11" s="46"/>
      <c r="V11" s="46"/>
      <c r="W11" s="46"/>
      <c r="X11" s="46"/>
      <c r="Y11" s="46"/>
      <c r="Z11" s="46"/>
      <c r="AA11" s="46"/>
      <c r="AB11" s="46"/>
      <c r="AC11" s="46"/>
      <c r="AD11" s="46"/>
      <c r="AE11" s="47"/>
      <c r="AF11" s="23"/>
      <c r="AG11" s="23"/>
    </row>
    <row r="12" spans="1:33" x14ac:dyDescent="0.25">
      <c r="A12" s="32" t="str">
        <f t="shared" si="1"/>
        <v/>
      </c>
      <c r="B12" s="39"/>
      <c r="C12" s="39"/>
      <c r="D12" s="39"/>
      <c r="E12" s="39"/>
      <c r="F12" s="40"/>
      <c r="G12" s="39"/>
      <c r="H12" s="39"/>
      <c r="I12" s="40"/>
      <c r="J12" s="39"/>
      <c r="K12" s="23"/>
      <c r="L12" s="45"/>
      <c r="M12" s="52" t="s">
        <v>45</v>
      </c>
      <c r="N12" s="46"/>
      <c r="O12" s="46"/>
      <c r="P12" s="344" t="str">
        <f>VLOOKUP($L$2,$A:$J,8,FALSE)</f>
        <v>312.298.2000</v>
      </c>
      <c r="Q12" s="345"/>
      <c r="R12" s="345"/>
      <c r="S12" s="345"/>
      <c r="T12" s="345"/>
      <c r="U12" s="346"/>
      <c r="V12" s="46"/>
      <c r="W12" s="60" t="s">
        <v>99</v>
      </c>
      <c r="X12" s="46"/>
      <c r="Y12" s="306" t="str">
        <f>VLOOKUP($L$2,$A:$J,9,FALSE)</f>
        <v>Plan A</v>
      </c>
      <c r="Z12" s="314"/>
      <c r="AA12" s="314"/>
      <c r="AB12" s="314"/>
      <c r="AC12" s="314"/>
      <c r="AD12" s="315"/>
      <c r="AE12" s="47"/>
      <c r="AF12" s="23"/>
      <c r="AG12" s="23"/>
    </row>
    <row r="13" spans="1:33" x14ac:dyDescent="0.25">
      <c r="A13" s="32" t="str">
        <f t="shared" si="1"/>
        <v/>
      </c>
      <c r="B13" s="39"/>
      <c r="C13" s="39"/>
      <c r="D13" s="39"/>
      <c r="E13" s="39"/>
      <c r="F13" s="40"/>
      <c r="G13" s="39"/>
      <c r="H13" s="39"/>
      <c r="I13" s="40"/>
      <c r="J13" s="39"/>
      <c r="K13" s="23"/>
      <c r="L13" s="45"/>
      <c r="M13" s="46"/>
      <c r="N13" s="46"/>
      <c r="O13" s="46"/>
      <c r="P13" s="46"/>
      <c r="Q13" s="46"/>
      <c r="R13" s="46"/>
      <c r="S13" s="46"/>
      <c r="T13" s="46"/>
      <c r="U13" s="46"/>
      <c r="V13" s="46"/>
      <c r="W13" s="46"/>
      <c r="X13" s="46"/>
      <c r="Y13" s="46"/>
      <c r="Z13" s="46"/>
      <c r="AA13" s="46"/>
      <c r="AB13" s="46"/>
      <c r="AC13" s="46"/>
      <c r="AD13" s="46"/>
      <c r="AE13" s="47"/>
      <c r="AF13" s="23"/>
      <c r="AG13" s="23"/>
    </row>
    <row r="14" spans="1:33" x14ac:dyDescent="0.25">
      <c r="A14" s="32" t="str">
        <f t="shared" si="1"/>
        <v/>
      </c>
      <c r="B14" s="39"/>
      <c r="C14" s="39"/>
      <c r="D14" s="39"/>
      <c r="E14" s="39"/>
      <c r="F14" s="40"/>
      <c r="G14" s="39"/>
      <c r="H14" s="39"/>
      <c r="I14" s="40"/>
      <c r="J14" s="39"/>
      <c r="K14" s="23"/>
      <c r="L14" s="45"/>
      <c r="M14" s="52" t="s">
        <v>90</v>
      </c>
      <c r="N14" s="46"/>
      <c r="O14" s="46"/>
      <c r="P14" s="46"/>
      <c r="Q14" s="46"/>
      <c r="R14" s="46"/>
      <c r="S14" s="46"/>
      <c r="T14" s="46"/>
      <c r="U14" s="46"/>
      <c r="V14" s="46"/>
      <c r="W14" s="46"/>
      <c r="X14" s="46"/>
      <c r="Y14" s="347">
        <f>VLOOKUP($L$2,$A:$J,10,FALSE)</f>
        <v>999999</v>
      </c>
      <c r="Z14" s="348"/>
      <c r="AA14" s="348"/>
      <c r="AB14" s="348"/>
      <c r="AC14" s="348"/>
      <c r="AD14" s="349"/>
      <c r="AE14" s="47"/>
      <c r="AF14" s="23"/>
      <c r="AG14" s="23"/>
    </row>
    <row r="15" spans="1:33" x14ac:dyDescent="0.25">
      <c r="A15" s="32" t="str">
        <f t="shared" si="1"/>
        <v/>
      </c>
      <c r="B15" s="39"/>
      <c r="C15" s="39"/>
      <c r="D15" s="39"/>
      <c r="E15" s="39"/>
      <c r="F15" s="40"/>
      <c r="G15" s="39"/>
      <c r="H15" s="39"/>
      <c r="I15" s="40"/>
      <c r="J15" s="39"/>
      <c r="K15" s="23"/>
      <c r="L15" s="45"/>
      <c r="M15" s="46"/>
      <c r="N15" s="46"/>
      <c r="O15" s="46"/>
      <c r="P15" s="46"/>
      <c r="Q15" s="46"/>
      <c r="R15" s="46"/>
      <c r="S15" s="46"/>
      <c r="T15" s="46"/>
      <c r="U15" s="46"/>
      <c r="V15" s="46"/>
      <c r="W15" s="46"/>
      <c r="X15" s="46"/>
      <c r="Y15" s="46"/>
      <c r="Z15" s="46"/>
      <c r="AA15" s="46"/>
      <c r="AB15" s="46"/>
      <c r="AC15" s="46"/>
      <c r="AD15" s="46"/>
      <c r="AE15" s="47"/>
      <c r="AF15" s="23"/>
      <c r="AG15" s="23"/>
    </row>
    <row r="16" spans="1:33" x14ac:dyDescent="0.25">
      <c r="A16" s="32" t="str">
        <f t="shared" si="1"/>
        <v/>
      </c>
      <c r="B16" s="39"/>
      <c r="C16" s="39"/>
      <c r="D16" s="39"/>
      <c r="E16" s="39"/>
      <c r="F16" s="40"/>
      <c r="G16" s="39"/>
      <c r="H16" s="39"/>
      <c r="I16" s="40"/>
      <c r="J16" s="39"/>
      <c r="K16" s="23"/>
      <c r="L16" s="303" t="s">
        <v>91</v>
      </c>
      <c r="M16" s="304"/>
      <c r="N16" s="304"/>
      <c r="O16" s="304"/>
      <c r="P16" s="304"/>
      <c r="Q16" s="304"/>
      <c r="R16" s="304"/>
      <c r="S16" s="304"/>
      <c r="T16" s="304"/>
      <c r="U16" s="304"/>
      <c r="V16" s="304"/>
      <c r="W16" s="304"/>
      <c r="X16" s="304"/>
      <c r="Y16" s="304"/>
      <c r="Z16" s="304"/>
      <c r="AA16" s="304"/>
      <c r="AB16" s="304"/>
      <c r="AC16" s="304"/>
      <c r="AD16" s="304"/>
      <c r="AE16" s="305"/>
      <c r="AF16" s="23"/>
      <c r="AG16" s="23"/>
    </row>
    <row r="17" spans="1:33" ht="16.5" thickBot="1" x14ac:dyDescent="0.3">
      <c r="A17" s="32" t="str">
        <f t="shared" si="1"/>
        <v/>
      </c>
      <c r="B17" s="39"/>
      <c r="C17" s="39"/>
      <c r="D17" s="39"/>
      <c r="E17" s="39"/>
      <c r="F17" s="40"/>
      <c r="G17" s="39"/>
      <c r="H17" s="39"/>
      <c r="I17" s="40"/>
      <c r="J17" s="39"/>
      <c r="K17" s="23"/>
      <c r="L17" s="61"/>
      <c r="M17" s="62"/>
      <c r="N17" s="62"/>
      <c r="O17" s="62"/>
      <c r="P17" s="62"/>
      <c r="Q17" s="62"/>
      <c r="R17" s="62"/>
      <c r="S17" s="62"/>
      <c r="T17" s="62"/>
      <c r="U17" s="62"/>
      <c r="V17" s="62"/>
      <c r="W17" s="62"/>
      <c r="X17" s="62"/>
      <c r="Y17" s="62"/>
      <c r="Z17" s="62"/>
      <c r="AA17" s="62"/>
      <c r="AB17" s="62"/>
      <c r="AC17" s="62"/>
      <c r="AD17" s="62"/>
      <c r="AE17" s="63"/>
      <c r="AF17" s="23"/>
      <c r="AG17" s="23"/>
    </row>
    <row r="18" spans="1:33" x14ac:dyDescent="0.25">
      <c r="A18" s="32" t="str">
        <f t="shared" si="1"/>
        <v/>
      </c>
      <c r="B18" s="39"/>
      <c r="C18" s="39"/>
      <c r="D18" s="39"/>
      <c r="E18" s="39"/>
      <c r="F18" s="40"/>
      <c r="G18" s="39"/>
      <c r="H18" s="39"/>
      <c r="I18" s="40"/>
      <c r="J18" s="39"/>
      <c r="K18" s="23"/>
      <c r="L18" s="23"/>
      <c r="M18" s="23"/>
      <c r="N18" s="23"/>
      <c r="O18" s="23"/>
      <c r="P18" s="23"/>
      <c r="Q18" s="23"/>
      <c r="R18" s="23"/>
      <c r="S18" s="23"/>
      <c r="T18" s="23"/>
      <c r="U18" s="23"/>
      <c r="V18" s="23"/>
      <c r="W18" s="23"/>
      <c r="X18" s="23"/>
      <c r="Y18" s="23"/>
      <c r="Z18" s="23"/>
      <c r="AA18" s="23"/>
      <c r="AB18" s="23"/>
      <c r="AC18" s="23"/>
      <c r="AD18" s="23"/>
      <c r="AE18" s="23"/>
      <c r="AF18" s="23"/>
      <c r="AG18" s="23"/>
    </row>
    <row r="19" spans="1:33" x14ac:dyDescent="0.25">
      <c r="A19" s="32" t="str">
        <f t="shared" si="1"/>
        <v/>
      </c>
      <c r="B19" s="39"/>
      <c r="C19" s="39"/>
      <c r="D19" s="39"/>
      <c r="E19" s="39"/>
      <c r="F19" s="40"/>
      <c r="G19" s="39"/>
      <c r="H19" s="39"/>
      <c r="I19" s="40"/>
      <c r="J19" s="39"/>
      <c r="K19" s="23"/>
      <c r="L19" s="23"/>
      <c r="M19" s="23"/>
      <c r="N19" s="23"/>
      <c r="O19" s="23"/>
      <c r="P19" s="23"/>
      <c r="Q19" s="23"/>
      <c r="R19" s="23"/>
      <c r="S19" s="23"/>
      <c r="T19" s="23"/>
      <c r="U19" s="23"/>
      <c r="V19" s="23"/>
      <c r="W19" s="23"/>
      <c r="X19" s="23"/>
      <c r="Y19" s="23"/>
      <c r="Z19" s="23"/>
      <c r="AA19" s="23"/>
      <c r="AB19" s="23"/>
      <c r="AC19" s="23"/>
      <c r="AD19" s="23"/>
      <c r="AE19" s="23"/>
      <c r="AF19" s="23"/>
      <c r="AG19" s="23"/>
    </row>
    <row r="20" spans="1:33" x14ac:dyDescent="0.25">
      <c r="A20" s="32" t="str">
        <f t="shared" si="1"/>
        <v/>
      </c>
      <c r="B20" s="39"/>
      <c r="C20" s="39"/>
      <c r="D20" s="39"/>
      <c r="E20" s="39"/>
      <c r="F20" s="40"/>
      <c r="G20" s="39"/>
      <c r="H20" s="39"/>
      <c r="I20" s="40"/>
      <c r="J20" s="39"/>
      <c r="K20" s="23"/>
      <c r="L20" s="23"/>
      <c r="M20" s="23"/>
      <c r="N20" s="23"/>
      <c r="O20" s="23"/>
      <c r="P20" s="23"/>
      <c r="Q20" s="23"/>
      <c r="R20" s="23"/>
      <c r="S20" s="23"/>
      <c r="T20" s="23"/>
      <c r="U20" s="23"/>
      <c r="V20" s="23"/>
      <c r="W20" s="23"/>
      <c r="X20" s="23"/>
      <c r="Y20" s="23"/>
      <c r="Z20" s="23"/>
      <c r="AA20" s="23"/>
      <c r="AB20" s="23"/>
      <c r="AC20" s="23"/>
      <c r="AD20" s="23"/>
      <c r="AE20" s="23"/>
      <c r="AF20" s="23"/>
      <c r="AG20" s="23"/>
    </row>
    <row r="21" spans="1:33" x14ac:dyDescent="0.25">
      <c r="A21" s="32" t="str">
        <f t="shared" si="1"/>
        <v/>
      </c>
      <c r="B21" s="39"/>
      <c r="C21" s="39"/>
      <c r="D21" s="39"/>
      <c r="E21" s="39"/>
      <c r="F21" s="40"/>
      <c r="G21" s="39"/>
      <c r="H21" s="39"/>
      <c r="I21" s="40"/>
      <c r="J21" s="39"/>
      <c r="K21" s="23"/>
      <c r="L21" s="23"/>
      <c r="M21" s="23"/>
      <c r="N21" s="23"/>
      <c r="O21" s="23"/>
      <c r="P21" s="23"/>
      <c r="Q21" s="23"/>
      <c r="R21" s="23"/>
      <c r="S21" s="23"/>
      <c r="T21" s="23"/>
      <c r="U21" s="23"/>
      <c r="V21" s="23"/>
      <c r="W21" s="23"/>
      <c r="X21" s="23"/>
      <c r="Y21" s="23"/>
      <c r="Z21" s="23"/>
      <c r="AA21" s="23"/>
      <c r="AB21" s="23"/>
      <c r="AC21" s="23"/>
      <c r="AD21" s="23"/>
      <c r="AE21" s="23"/>
      <c r="AF21" s="23"/>
      <c r="AG21" s="23"/>
    </row>
    <row r="22" spans="1:33" x14ac:dyDescent="0.25">
      <c r="A22" s="32" t="str">
        <f t="shared" si="1"/>
        <v/>
      </c>
      <c r="B22" s="39"/>
      <c r="C22" s="39"/>
      <c r="D22" s="39"/>
      <c r="E22" s="39"/>
      <c r="F22" s="40"/>
      <c r="G22" s="39"/>
      <c r="H22" s="39"/>
      <c r="I22" s="40"/>
      <c r="J22" s="39"/>
      <c r="K22" s="23"/>
      <c r="L22" s="23"/>
      <c r="M22" s="23"/>
      <c r="N22" s="23"/>
      <c r="O22" s="23"/>
      <c r="P22" s="23"/>
      <c r="Q22" s="23"/>
      <c r="R22" s="23"/>
      <c r="S22" s="23"/>
      <c r="T22" s="23"/>
      <c r="U22" s="23"/>
      <c r="V22" s="23"/>
      <c r="W22" s="23"/>
      <c r="X22" s="23"/>
      <c r="Y22" s="23"/>
      <c r="Z22" s="23"/>
      <c r="AA22" s="23"/>
      <c r="AB22" s="23"/>
      <c r="AC22" s="23"/>
      <c r="AD22" s="23"/>
      <c r="AE22" s="23"/>
      <c r="AF22" s="23"/>
      <c r="AG22" s="23"/>
    </row>
    <row r="23" spans="1:33" x14ac:dyDescent="0.25">
      <c r="A23" s="32" t="str">
        <f t="shared" si="1"/>
        <v/>
      </c>
      <c r="B23" s="39"/>
      <c r="C23" s="39"/>
      <c r="D23" s="39"/>
      <c r="E23" s="39"/>
      <c r="F23" s="40"/>
      <c r="G23" s="39"/>
      <c r="H23" s="39"/>
      <c r="I23" s="40"/>
      <c r="J23" s="39"/>
      <c r="K23" s="23"/>
      <c r="L23" s="23"/>
      <c r="M23" s="23"/>
      <c r="N23" s="23"/>
      <c r="O23" s="23"/>
      <c r="P23" s="23"/>
      <c r="Q23" s="23"/>
      <c r="R23" s="23"/>
      <c r="S23" s="23"/>
      <c r="T23" s="23"/>
      <c r="U23" s="23"/>
      <c r="V23" s="23"/>
      <c r="W23" s="23"/>
      <c r="X23" s="23"/>
      <c r="Y23" s="23"/>
      <c r="Z23" s="23"/>
      <c r="AA23" s="23"/>
      <c r="AB23" s="23"/>
      <c r="AC23" s="23"/>
      <c r="AD23" s="23"/>
      <c r="AE23" s="23"/>
      <c r="AF23" s="23"/>
      <c r="AG23" s="23"/>
    </row>
    <row r="24" spans="1:33" x14ac:dyDescent="0.25">
      <c r="A24" s="32" t="str">
        <f t="shared" si="1"/>
        <v/>
      </c>
      <c r="B24" s="39"/>
      <c r="C24" s="39"/>
      <c r="D24" s="39"/>
      <c r="E24" s="39"/>
      <c r="F24" s="40"/>
      <c r="G24" s="39"/>
      <c r="H24" s="39"/>
      <c r="I24" s="40"/>
      <c r="J24" s="39"/>
      <c r="K24" s="23"/>
      <c r="L24" s="23"/>
      <c r="M24" s="23"/>
      <c r="N24" s="23"/>
      <c r="O24" s="23"/>
      <c r="P24" s="23"/>
      <c r="Q24" s="23"/>
      <c r="R24" s="23"/>
      <c r="S24" s="23"/>
      <c r="T24" s="23"/>
      <c r="U24" s="23"/>
      <c r="V24" s="23"/>
      <c r="W24" s="23"/>
      <c r="X24" s="23"/>
      <c r="Y24" s="23"/>
      <c r="Z24" s="23"/>
      <c r="AA24" s="23"/>
      <c r="AB24" s="23"/>
      <c r="AC24" s="23"/>
      <c r="AD24" s="23"/>
      <c r="AE24" s="23"/>
      <c r="AF24" s="23"/>
      <c r="AG24" s="23"/>
    </row>
    <row r="25" spans="1:33" x14ac:dyDescent="0.25">
      <c r="A25" s="32" t="str">
        <f t="shared" si="1"/>
        <v/>
      </c>
      <c r="B25" s="39"/>
      <c r="C25" s="39"/>
      <c r="D25" s="39"/>
      <c r="E25" s="39"/>
      <c r="F25" s="40"/>
      <c r="G25" s="39"/>
      <c r="H25" s="39"/>
      <c r="I25" s="40"/>
      <c r="J25" s="39"/>
      <c r="K25" s="23"/>
      <c r="L25" s="23"/>
      <c r="M25" s="23"/>
      <c r="N25" s="23"/>
      <c r="O25" s="23"/>
      <c r="P25" s="23"/>
      <c r="Q25" s="23"/>
      <c r="R25" s="23"/>
      <c r="S25" s="23"/>
      <c r="T25" s="23"/>
      <c r="U25" s="23"/>
      <c r="V25" s="23"/>
      <c r="W25" s="23"/>
      <c r="X25" s="23"/>
      <c r="Y25" s="23"/>
      <c r="Z25" s="23"/>
      <c r="AA25" s="23"/>
      <c r="AB25" s="23"/>
      <c r="AC25" s="23"/>
      <c r="AD25" s="23"/>
      <c r="AE25" s="23"/>
      <c r="AF25" s="23"/>
      <c r="AG25" s="23"/>
    </row>
    <row r="26" spans="1:33" x14ac:dyDescent="0.25">
      <c r="A26" s="32" t="str">
        <f t="shared" si="1"/>
        <v/>
      </c>
      <c r="B26" s="39"/>
      <c r="C26" s="39"/>
      <c r="D26" s="39"/>
      <c r="E26" s="39"/>
      <c r="F26" s="40"/>
      <c r="G26" s="39"/>
      <c r="H26" s="39"/>
      <c r="I26" s="40"/>
      <c r="J26" s="39"/>
      <c r="K26" s="23"/>
      <c r="L26" s="23"/>
      <c r="M26" s="23"/>
      <c r="N26" s="23"/>
      <c r="O26" s="23"/>
      <c r="P26" s="23"/>
      <c r="Q26" s="23"/>
      <c r="R26" s="23"/>
      <c r="S26" s="23"/>
      <c r="T26" s="23"/>
      <c r="U26" s="23"/>
      <c r="V26" s="23"/>
      <c r="W26" s="23"/>
      <c r="X26" s="23"/>
      <c r="Y26" s="23"/>
      <c r="Z26" s="23"/>
      <c r="AA26" s="23"/>
      <c r="AB26" s="23"/>
      <c r="AC26" s="23"/>
      <c r="AD26" s="23"/>
      <c r="AE26" s="23"/>
      <c r="AF26" s="23"/>
      <c r="AG26" s="23"/>
    </row>
    <row r="27" spans="1:33" x14ac:dyDescent="0.25">
      <c r="A27" s="32" t="str">
        <f t="shared" si="1"/>
        <v/>
      </c>
      <c r="B27" s="39"/>
      <c r="C27" s="39"/>
      <c r="D27" s="39"/>
      <c r="E27" s="39"/>
      <c r="F27" s="40"/>
      <c r="G27" s="39"/>
      <c r="H27" s="39"/>
      <c r="I27" s="40"/>
      <c r="J27" s="39"/>
      <c r="K27" s="23"/>
      <c r="L27" s="23"/>
      <c r="M27" s="23"/>
      <c r="N27" s="23"/>
      <c r="O27" s="23"/>
      <c r="P27" s="23"/>
      <c r="Q27" s="23"/>
      <c r="R27" s="23"/>
      <c r="S27" s="23"/>
      <c r="T27" s="23"/>
      <c r="U27" s="23"/>
      <c r="V27" s="23"/>
      <c r="W27" s="23"/>
      <c r="X27" s="23"/>
      <c r="Y27" s="23"/>
      <c r="Z27" s="23"/>
      <c r="AA27" s="23"/>
      <c r="AB27" s="23"/>
      <c r="AC27" s="23"/>
      <c r="AD27" s="23"/>
      <c r="AE27" s="23"/>
      <c r="AF27" s="23"/>
      <c r="AG27" s="23"/>
    </row>
    <row r="28" spans="1:33" x14ac:dyDescent="0.25">
      <c r="A28" s="32" t="str">
        <f t="shared" si="1"/>
        <v/>
      </c>
      <c r="B28" s="39"/>
      <c r="C28" s="39"/>
      <c r="D28" s="39"/>
      <c r="E28" s="39"/>
      <c r="F28" s="40"/>
      <c r="G28" s="39"/>
      <c r="H28" s="39"/>
      <c r="I28" s="40"/>
      <c r="J28" s="39"/>
      <c r="K28" s="23"/>
      <c r="L28" s="162"/>
      <c r="M28" s="23"/>
      <c r="N28" s="23"/>
      <c r="O28" s="23"/>
      <c r="P28" s="23"/>
      <c r="Q28" s="23"/>
      <c r="R28" s="23"/>
      <c r="S28" s="23"/>
      <c r="T28" s="23"/>
      <c r="U28" s="23"/>
      <c r="V28" s="23"/>
      <c r="W28" s="23"/>
      <c r="X28" s="23"/>
      <c r="Y28" s="23"/>
      <c r="Z28" s="23"/>
      <c r="AA28" s="23"/>
      <c r="AB28" s="23"/>
      <c r="AC28" s="23"/>
      <c r="AD28" s="23"/>
      <c r="AE28" s="23"/>
      <c r="AF28" s="23"/>
      <c r="AG28" s="163"/>
    </row>
    <row r="29" spans="1:33" x14ac:dyDescent="0.25">
      <c r="A29" s="32" t="str">
        <f t="shared" si="1"/>
        <v/>
      </c>
      <c r="B29" s="39"/>
      <c r="C29" s="39"/>
      <c r="D29" s="39"/>
      <c r="E29" s="39"/>
      <c r="F29" s="40"/>
      <c r="G29" s="39"/>
      <c r="H29" s="39"/>
      <c r="I29" s="40"/>
      <c r="J29" s="39"/>
      <c r="K29" s="23"/>
      <c r="L29" s="23"/>
      <c r="M29" s="23"/>
      <c r="N29" s="23"/>
      <c r="O29" s="23"/>
      <c r="P29" s="23"/>
      <c r="Q29" s="23"/>
      <c r="R29" s="23"/>
      <c r="S29" s="23"/>
      <c r="T29" s="23"/>
      <c r="U29" s="23"/>
      <c r="V29" s="23"/>
      <c r="W29" s="23"/>
      <c r="X29" s="23"/>
      <c r="Y29" s="23"/>
      <c r="Z29" s="23"/>
      <c r="AA29" s="23"/>
      <c r="AB29" s="23"/>
      <c r="AC29" s="23"/>
      <c r="AD29" s="23"/>
      <c r="AE29" s="23"/>
      <c r="AF29" s="23"/>
      <c r="AG29" s="23"/>
    </row>
    <row r="30" spans="1:33" x14ac:dyDescent="0.25">
      <c r="A30" s="32" t="str">
        <f t="shared" si="1"/>
        <v/>
      </c>
      <c r="B30" s="39"/>
      <c r="C30" s="39"/>
      <c r="D30" s="39"/>
      <c r="E30" s="39"/>
      <c r="F30" s="40"/>
      <c r="G30" s="39"/>
      <c r="H30" s="39"/>
      <c r="I30" s="40"/>
      <c r="J30" s="39"/>
      <c r="K30" s="23"/>
      <c r="L30" s="23"/>
      <c r="M30" s="23"/>
      <c r="N30" s="23"/>
      <c r="O30" s="23"/>
      <c r="P30" s="23"/>
      <c r="Q30" s="23"/>
      <c r="R30" s="23"/>
      <c r="S30" s="23"/>
      <c r="T30" s="23"/>
      <c r="U30" s="23"/>
      <c r="V30" s="23"/>
      <c r="W30" s="23"/>
      <c r="X30" s="23"/>
      <c r="Y30" s="23"/>
      <c r="Z30" s="23"/>
      <c r="AA30" s="23"/>
      <c r="AB30" s="23"/>
      <c r="AC30" s="23"/>
      <c r="AD30" s="23"/>
      <c r="AE30" s="23"/>
      <c r="AF30" s="23"/>
      <c r="AG30" s="23"/>
    </row>
  </sheetData>
  <mergeCells count="11">
    <mergeCell ref="P12:U12"/>
    <mergeCell ref="Y12:AD12"/>
    <mergeCell ref="Y14:AD14"/>
    <mergeCell ref="L16:AE16"/>
    <mergeCell ref="L4:AE4"/>
    <mergeCell ref="P6:U6"/>
    <mergeCell ref="Y6:AD6"/>
    <mergeCell ref="P8:U8"/>
    <mergeCell ref="Y8:AD8"/>
    <mergeCell ref="P10:U10"/>
    <mergeCell ref="Y10:AD10"/>
  </mergeCell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W28"/>
  <sheetViews>
    <sheetView showGridLines="0" workbookViewId="0">
      <selection activeCell="P1" sqref="P1"/>
    </sheetView>
  </sheetViews>
  <sheetFormatPr defaultRowHeight="15.75" x14ac:dyDescent="0.25"/>
  <cols>
    <col min="1" max="1" width="7.875" bestFit="1" customWidth="1"/>
    <col min="2" max="3" width="10" bestFit="1" customWidth="1"/>
    <col min="4" max="4" width="19" bestFit="1" customWidth="1"/>
    <col min="5" max="5" width="8.375" bestFit="1" customWidth="1"/>
    <col min="6" max="6" width="5.375" bestFit="1" customWidth="1"/>
    <col min="7" max="7" width="5.875" bestFit="1" customWidth="1"/>
    <col min="8" max="8" width="11.875" bestFit="1" customWidth="1"/>
    <col min="9" max="9" width="11.875" customWidth="1"/>
    <col min="10" max="10" width="12.125" bestFit="1" customWidth="1"/>
    <col min="11" max="11" width="3.75" customWidth="1"/>
    <col min="12" max="15" width="3.625" customWidth="1"/>
    <col min="16" max="16" width="21.75" customWidth="1"/>
    <col min="17" max="19" width="3.625" customWidth="1"/>
    <col min="20" max="20" width="21.75" customWidth="1"/>
    <col min="21" max="21" width="3.625" customWidth="1"/>
    <col min="22" max="22" width="3" customWidth="1"/>
    <col min="24" max="31" width="3.625" customWidth="1"/>
    <col min="32" max="32" width="3" customWidth="1"/>
  </cols>
  <sheetData>
    <row r="1" spans="1:23" x14ac:dyDescent="0.25">
      <c r="A1" s="16"/>
      <c r="B1" s="16"/>
      <c r="C1" s="16"/>
      <c r="D1" s="16"/>
      <c r="E1" s="16"/>
      <c r="F1" s="16"/>
      <c r="G1" s="16"/>
      <c r="H1" s="16"/>
      <c r="I1" s="16"/>
      <c r="J1" s="16"/>
      <c r="K1" s="16"/>
      <c r="L1" s="16"/>
      <c r="M1" s="16"/>
      <c r="N1" s="16"/>
      <c r="O1" s="16"/>
      <c r="P1" s="16"/>
      <c r="Q1" s="17">
        <f t="shared" ref="Q1:T1" si="0">VLOOKUP(MAX($A$3:$A$147),$A$3:$H$147,2)</f>
        <v>0</v>
      </c>
      <c r="R1" s="17">
        <f t="shared" si="0"/>
        <v>0</v>
      </c>
      <c r="S1" s="17">
        <f t="shared" si="0"/>
        <v>0</v>
      </c>
      <c r="T1" s="17">
        <f t="shared" si="0"/>
        <v>0</v>
      </c>
      <c r="U1" s="18"/>
      <c r="V1" s="18"/>
      <c r="W1" s="18"/>
    </row>
    <row r="2" spans="1:23" ht="16.5" thickBot="1" x14ac:dyDescent="0.3">
      <c r="A2" s="73"/>
      <c r="B2" s="20"/>
      <c r="C2" s="20"/>
      <c r="D2" s="20"/>
      <c r="E2" s="20"/>
      <c r="F2" s="20"/>
      <c r="G2" s="20"/>
      <c r="H2" s="20"/>
      <c r="I2" s="22"/>
      <c r="J2" s="20"/>
      <c r="K2" s="23"/>
      <c r="L2" s="23"/>
      <c r="M2" s="23"/>
      <c r="N2" s="23"/>
      <c r="O2" s="23"/>
      <c r="P2" s="23"/>
      <c r="Q2" s="23"/>
      <c r="R2" s="23"/>
      <c r="S2" s="23"/>
      <c r="T2" s="23"/>
      <c r="U2" s="23"/>
      <c r="V2" s="23"/>
      <c r="W2" s="23"/>
    </row>
    <row r="3" spans="1:23" x14ac:dyDescent="0.25">
      <c r="A3" s="68" t="s">
        <v>38</v>
      </c>
      <c r="B3" s="69" t="s">
        <v>39</v>
      </c>
      <c r="C3" s="69" t="s">
        <v>40</v>
      </c>
      <c r="D3" s="69" t="s">
        <v>41</v>
      </c>
      <c r="E3" s="68" t="s">
        <v>42</v>
      </c>
      <c r="F3" s="68" t="s">
        <v>43</v>
      </c>
      <c r="G3" s="68" t="s">
        <v>44</v>
      </c>
      <c r="H3" s="68" t="s">
        <v>45</v>
      </c>
      <c r="I3" s="68" t="s">
        <v>46</v>
      </c>
      <c r="J3" s="68" t="s">
        <v>47</v>
      </c>
      <c r="K3" s="23"/>
      <c r="L3" s="29"/>
      <c r="M3" s="30"/>
      <c r="N3" s="30"/>
      <c r="O3" s="30"/>
      <c r="P3" s="30"/>
      <c r="Q3" s="30"/>
      <c r="R3" s="30"/>
      <c r="S3" s="30"/>
      <c r="T3" s="30"/>
      <c r="U3" s="31"/>
      <c r="V3" s="23"/>
      <c r="W3" s="23"/>
    </row>
    <row r="4" spans="1:23" x14ac:dyDescent="0.25">
      <c r="A4" s="32">
        <v>1</v>
      </c>
      <c r="B4" s="33" t="s">
        <v>48</v>
      </c>
      <c r="C4" s="34" t="s">
        <v>49</v>
      </c>
      <c r="D4" s="34" t="s">
        <v>50</v>
      </c>
      <c r="E4" s="34" t="s">
        <v>51</v>
      </c>
      <c r="F4" s="35" t="s">
        <v>52</v>
      </c>
      <c r="G4" s="35">
        <v>30062</v>
      </c>
      <c r="H4" s="33" t="s">
        <v>53</v>
      </c>
      <c r="I4" s="37" t="s">
        <v>54</v>
      </c>
      <c r="J4" s="70">
        <v>157665</v>
      </c>
      <c r="K4" s="23"/>
      <c r="L4" s="300" t="s">
        <v>55</v>
      </c>
      <c r="M4" s="301"/>
      <c r="N4" s="301"/>
      <c r="O4" s="301"/>
      <c r="P4" s="301"/>
      <c r="Q4" s="301"/>
      <c r="R4" s="301"/>
      <c r="S4" s="301"/>
      <c r="T4" s="301"/>
      <c r="U4" s="302"/>
      <c r="V4" s="23"/>
      <c r="W4" s="23"/>
    </row>
    <row r="5" spans="1:23" x14ac:dyDescent="0.25">
      <c r="A5" s="32">
        <v>2</v>
      </c>
      <c r="B5" s="39" t="s">
        <v>56</v>
      </c>
      <c r="C5" s="39" t="s">
        <v>57</v>
      </c>
      <c r="D5" s="39" t="s">
        <v>58</v>
      </c>
      <c r="E5" s="39" t="s">
        <v>51</v>
      </c>
      <c r="F5" s="40" t="s">
        <v>52</v>
      </c>
      <c r="G5" s="40">
        <v>30063</v>
      </c>
      <c r="H5" s="42" t="s">
        <v>59</v>
      </c>
      <c r="I5" s="43" t="s">
        <v>60</v>
      </c>
      <c r="J5" s="71">
        <v>156340</v>
      </c>
      <c r="K5" s="23"/>
      <c r="L5" s="45"/>
      <c r="M5" s="46"/>
      <c r="N5" s="46"/>
      <c r="O5" s="46"/>
      <c r="P5" s="46"/>
      <c r="Q5" s="46"/>
      <c r="R5" s="46"/>
      <c r="S5" s="46"/>
      <c r="T5" s="46"/>
      <c r="U5" s="47"/>
      <c r="V5" s="23"/>
      <c r="W5" s="23"/>
    </row>
    <row r="6" spans="1:23" x14ac:dyDescent="0.25">
      <c r="A6" s="32">
        <v>3</v>
      </c>
      <c r="B6" s="39" t="s">
        <v>61</v>
      </c>
      <c r="C6" s="42" t="s">
        <v>62</v>
      </c>
      <c r="D6" s="39" t="s">
        <v>63</v>
      </c>
      <c r="E6" s="39" t="s">
        <v>51</v>
      </c>
      <c r="F6" s="40" t="s">
        <v>52</v>
      </c>
      <c r="G6" s="40">
        <v>30064</v>
      </c>
      <c r="H6" s="42" t="s">
        <v>64</v>
      </c>
      <c r="I6" s="43" t="s">
        <v>65</v>
      </c>
      <c r="J6" s="71">
        <v>81480</v>
      </c>
      <c r="K6" s="23"/>
      <c r="L6" s="45"/>
      <c r="M6" s="48" t="s">
        <v>39</v>
      </c>
      <c r="N6" s="46"/>
      <c r="O6" s="46"/>
      <c r="P6" s="164" t="str">
        <f t="array" ref="P6">INDEX(B$1:B$104,MAX(IF(LEN(B$1:B$104)&gt;0,ROW(B$1:B$104),0)),1)</f>
        <v>Collins</v>
      </c>
      <c r="Q6" s="46"/>
      <c r="R6" s="52" t="s">
        <v>42</v>
      </c>
      <c r="S6" s="46"/>
      <c r="T6" s="49" t="str">
        <f t="array" ref="T6">INDEX(E$1:E$104,MAX(IF(LEN(E$1:E$104)&gt;0,ROW(E$1:E$104),0)),1)</f>
        <v>Norcross</v>
      </c>
      <c r="U6" s="47"/>
      <c r="V6" s="23"/>
      <c r="W6" s="23"/>
    </row>
    <row r="7" spans="1:23" x14ac:dyDescent="0.25">
      <c r="A7" s="32">
        <v>4</v>
      </c>
      <c r="B7" s="39" t="s">
        <v>66</v>
      </c>
      <c r="C7" s="42" t="s">
        <v>67</v>
      </c>
      <c r="D7" s="39" t="s">
        <v>68</v>
      </c>
      <c r="E7" s="39" t="s">
        <v>51</v>
      </c>
      <c r="F7" s="40" t="s">
        <v>52</v>
      </c>
      <c r="G7" s="40">
        <v>30065</v>
      </c>
      <c r="H7" s="42" t="s">
        <v>69</v>
      </c>
      <c r="I7" s="43" t="s">
        <v>54</v>
      </c>
      <c r="J7" s="71">
        <v>202578</v>
      </c>
      <c r="K7" s="23"/>
      <c r="L7" s="45"/>
      <c r="M7" s="46"/>
      <c r="N7" s="46"/>
      <c r="O7" s="46"/>
      <c r="P7" s="46"/>
      <c r="Q7" s="46"/>
      <c r="R7" s="46"/>
      <c r="S7" s="46"/>
      <c r="T7" s="46"/>
      <c r="U7" s="47"/>
      <c r="V7" s="23"/>
      <c r="W7" s="23"/>
    </row>
    <row r="8" spans="1:23" x14ac:dyDescent="0.25">
      <c r="A8" s="32">
        <v>5</v>
      </c>
      <c r="B8" s="42" t="s">
        <v>70</v>
      </c>
      <c r="C8" s="39" t="s">
        <v>71</v>
      </c>
      <c r="D8" s="39" t="s">
        <v>72</v>
      </c>
      <c r="E8" s="39" t="s">
        <v>51</v>
      </c>
      <c r="F8" s="40" t="s">
        <v>52</v>
      </c>
      <c r="G8" s="40">
        <v>30066</v>
      </c>
      <c r="H8" s="42" t="s">
        <v>73</v>
      </c>
      <c r="I8" s="43" t="s">
        <v>60</v>
      </c>
      <c r="J8" s="71">
        <v>177209</v>
      </c>
      <c r="K8" s="23"/>
      <c r="L8" s="45"/>
      <c r="M8" s="48" t="s">
        <v>40</v>
      </c>
      <c r="N8" s="46"/>
      <c r="O8" s="46"/>
      <c r="P8" s="49" t="str">
        <f t="array" ref="P8">INDEX(C$1:C$104,MAX(IF(LEN(C$1:C$104)&gt;0,ROW(C$1:C$104),0)),1)</f>
        <v>Carlton</v>
      </c>
      <c r="Q8" s="46"/>
      <c r="R8" s="52" t="s">
        <v>43</v>
      </c>
      <c r="S8" s="46"/>
      <c r="T8" s="49" t="str">
        <f t="array" ref="T8">INDEX(F$1:F$104,MAX(IF(LEN(F$1:F$104)&gt;0,ROW(F$1:F$104),0)),1)</f>
        <v xml:space="preserve">GA </v>
      </c>
      <c r="U8" s="47"/>
      <c r="V8" s="23"/>
      <c r="W8" s="23"/>
    </row>
    <row r="9" spans="1:23" x14ac:dyDescent="0.25">
      <c r="A9" s="32">
        <v>6</v>
      </c>
      <c r="B9" s="39" t="s">
        <v>74</v>
      </c>
      <c r="C9" s="39" t="s">
        <v>75</v>
      </c>
      <c r="D9" s="39" t="s">
        <v>76</v>
      </c>
      <c r="E9" s="39" t="s">
        <v>77</v>
      </c>
      <c r="F9" s="40" t="s">
        <v>52</v>
      </c>
      <c r="G9" s="40">
        <v>30092</v>
      </c>
      <c r="H9" s="42" t="s">
        <v>78</v>
      </c>
      <c r="I9" s="43" t="s">
        <v>65</v>
      </c>
      <c r="J9" s="71">
        <v>212254.23</v>
      </c>
      <c r="K9" s="23"/>
      <c r="L9" s="45"/>
      <c r="M9" s="46"/>
      <c r="N9" s="46"/>
      <c r="O9" s="46"/>
      <c r="P9" s="46"/>
      <c r="Q9" s="46"/>
      <c r="R9" s="46"/>
      <c r="S9" s="46"/>
      <c r="T9" s="46"/>
      <c r="U9" s="47"/>
      <c r="V9" s="23"/>
      <c r="W9" s="23"/>
    </row>
    <row r="10" spans="1:23" x14ac:dyDescent="0.25">
      <c r="A10" s="32">
        <v>7</v>
      </c>
      <c r="B10" s="39" t="s">
        <v>79</v>
      </c>
      <c r="C10" s="39" t="s">
        <v>80</v>
      </c>
      <c r="D10" s="39" t="s">
        <v>50</v>
      </c>
      <c r="E10" s="39" t="s">
        <v>81</v>
      </c>
      <c r="F10" s="40" t="s">
        <v>82</v>
      </c>
      <c r="G10" s="40">
        <v>30092</v>
      </c>
      <c r="H10" s="42" t="s">
        <v>53</v>
      </c>
      <c r="I10" s="43" t="s">
        <v>54</v>
      </c>
      <c r="J10" s="71">
        <v>124533.45</v>
      </c>
      <c r="K10" s="23"/>
      <c r="L10" s="45"/>
      <c r="M10" s="48" t="s">
        <v>41</v>
      </c>
      <c r="N10" s="46"/>
      <c r="O10" s="46"/>
      <c r="P10" s="49" t="str">
        <f t="array" ref="P10">INDEX(D$1:D$104,MAX(IF(LEN(D$1:D$104)&gt;0,ROW(D$1:D$104),0)),1)</f>
        <v>100 Peachtree Street</v>
      </c>
      <c r="Q10" s="46"/>
      <c r="R10" s="52" t="s">
        <v>44</v>
      </c>
      <c r="S10" s="46"/>
      <c r="T10" s="77">
        <f t="array" ref="T10">INDEX(G$1:G$104,MAX(IF(LEN(G$1:G$104)&gt;0,ROW(G$1:G$104),0)),1)</f>
        <v>30092</v>
      </c>
      <c r="U10" s="47"/>
      <c r="V10" s="23"/>
      <c r="W10" s="23"/>
    </row>
    <row r="11" spans="1:23" x14ac:dyDescent="0.25">
      <c r="A11" s="32">
        <v>8</v>
      </c>
      <c r="B11" s="39"/>
      <c r="C11" s="39"/>
      <c r="D11" s="39"/>
      <c r="E11" s="39"/>
      <c r="F11" s="39"/>
      <c r="G11" s="39"/>
      <c r="H11" s="39"/>
      <c r="I11" s="40"/>
      <c r="J11" s="39"/>
      <c r="K11" s="23"/>
      <c r="L11" s="45"/>
      <c r="M11" s="46"/>
      <c r="N11" s="46"/>
      <c r="O11" s="46"/>
      <c r="P11" s="46"/>
      <c r="Q11" s="46"/>
      <c r="R11" s="46"/>
      <c r="S11" s="46"/>
      <c r="T11" s="46"/>
      <c r="U11" s="47"/>
      <c r="V11" s="23"/>
      <c r="W11" s="23"/>
    </row>
    <row r="12" spans="1:23" x14ac:dyDescent="0.25">
      <c r="A12" s="32">
        <v>9</v>
      </c>
      <c r="B12" s="39"/>
      <c r="C12" s="39"/>
      <c r="D12" s="39"/>
      <c r="E12" s="39"/>
      <c r="F12" s="39"/>
      <c r="G12" s="39"/>
      <c r="H12" s="39"/>
      <c r="I12" s="40"/>
      <c r="J12" s="39"/>
      <c r="K12" s="23"/>
      <c r="L12" s="45"/>
      <c r="M12" s="52" t="s">
        <v>45</v>
      </c>
      <c r="N12" s="46"/>
      <c r="O12" s="46"/>
      <c r="P12" s="49" t="str">
        <f t="array" ref="P12">INDEX(H$1:H$104,MAX(IF(LEN(H$1:H$104)&gt;0,ROW(H$1:H$104),0)),1)</f>
        <v>770.842.5902</v>
      </c>
      <c r="Q12" s="46"/>
      <c r="R12" s="60" t="s">
        <v>99</v>
      </c>
      <c r="S12" s="46"/>
      <c r="T12" s="49" t="str">
        <f t="array" ref="T12">INDEX(I$1:I$104,MAX(IF(LEN(I$1:I$104)&gt;0,ROW(I$1:I$104),0)),1)</f>
        <v>Plan A</v>
      </c>
      <c r="U12" s="47"/>
      <c r="V12" s="23"/>
      <c r="W12" s="23"/>
    </row>
    <row r="13" spans="1:23" x14ac:dyDescent="0.25">
      <c r="A13" s="32">
        <v>10</v>
      </c>
      <c r="B13" s="39"/>
      <c r="C13" s="39"/>
      <c r="D13" s="39"/>
      <c r="E13" s="39"/>
      <c r="F13" s="39"/>
      <c r="G13" s="39"/>
      <c r="H13" s="39"/>
      <c r="I13" s="40"/>
      <c r="J13" s="39"/>
      <c r="K13" s="23"/>
      <c r="L13" s="45"/>
      <c r="M13" s="46"/>
      <c r="N13" s="46"/>
      <c r="O13" s="46"/>
      <c r="P13" s="46"/>
      <c r="Q13" s="46"/>
      <c r="R13" s="46"/>
      <c r="S13" s="46"/>
      <c r="T13" s="46"/>
      <c r="U13" s="47"/>
      <c r="V13" s="23"/>
      <c r="W13" s="23"/>
    </row>
    <row r="14" spans="1:23" x14ac:dyDescent="0.25">
      <c r="A14" s="32">
        <v>11</v>
      </c>
      <c r="B14" s="39"/>
      <c r="C14" s="39"/>
      <c r="D14" s="39"/>
      <c r="E14" s="39"/>
      <c r="F14" s="39"/>
      <c r="G14" s="39"/>
      <c r="H14" s="39"/>
      <c r="I14" s="40"/>
      <c r="J14" s="39"/>
      <c r="K14" s="23"/>
      <c r="L14" s="45"/>
      <c r="M14" s="52" t="s">
        <v>90</v>
      </c>
      <c r="N14" s="46"/>
      <c r="O14" s="46"/>
      <c r="P14" s="46"/>
      <c r="Q14" s="46"/>
      <c r="R14" s="46"/>
      <c r="S14" s="46"/>
      <c r="T14" s="165">
        <f t="array" ref="T14">INDEX(J$1:J$104,MAX(IF(LEN(J$1:J$104)&gt;0,ROW(J$1:J$104),0)),1)</f>
        <v>124533.45</v>
      </c>
      <c r="U14" s="47"/>
      <c r="V14" s="23"/>
      <c r="W14" s="23"/>
    </row>
    <row r="15" spans="1:23" x14ac:dyDescent="0.25">
      <c r="A15" s="32">
        <v>12</v>
      </c>
      <c r="B15" s="39"/>
      <c r="C15" s="39"/>
      <c r="D15" s="39"/>
      <c r="E15" s="39"/>
      <c r="F15" s="39"/>
      <c r="G15" s="39"/>
      <c r="H15" s="39"/>
      <c r="I15" s="40"/>
      <c r="J15" s="39"/>
      <c r="K15" s="23"/>
      <c r="L15" s="45"/>
      <c r="M15" s="46"/>
      <c r="N15" s="46"/>
      <c r="O15" s="46"/>
      <c r="P15" s="46"/>
      <c r="Q15" s="46"/>
      <c r="R15" s="46"/>
      <c r="S15" s="46"/>
      <c r="T15" s="46"/>
      <c r="U15" s="47"/>
      <c r="V15" s="23"/>
      <c r="W15" s="23"/>
    </row>
    <row r="16" spans="1:23" x14ac:dyDescent="0.25">
      <c r="A16" s="32">
        <v>13</v>
      </c>
      <c r="B16" s="39"/>
      <c r="C16" s="39"/>
      <c r="D16" s="39"/>
      <c r="E16" s="39"/>
      <c r="F16" s="39"/>
      <c r="G16" s="39"/>
      <c r="H16" s="39"/>
      <c r="I16" s="40"/>
      <c r="J16" s="39"/>
      <c r="K16" s="23"/>
      <c r="L16" s="303" t="s">
        <v>91</v>
      </c>
      <c r="M16" s="304"/>
      <c r="N16" s="304"/>
      <c r="O16" s="304"/>
      <c r="P16" s="304"/>
      <c r="Q16" s="304"/>
      <c r="R16" s="304"/>
      <c r="S16" s="304"/>
      <c r="T16" s="304"/>
      <c r="U16" s="305"/>
      <c r="V16" s="23"/>
      <c r="W16" s="23"/>
    </row>
    <row r="17" spans="1:23" ht="16.5" thickBot="1" x14ac:dyDescent="0.3">
      <c r="A17" s="32">
        <v>14</v>
      </c>
      <c r="B17" s="39"/>
      <c r="C17" s="39"/>
      <c r="D17" s="39"/>
      <c r="E17" s="39"/>
      <c r="F17" s="39"/>
      <c r="G17" s="39"/>
      <c r="H17" s="39"/>
      <c r="I17" s="40"/>
      <c r="J17" s="39"/>
      <c r="K17" s="23"/>
      <c r="L17" s="61"/>
      <c r="M17" s="62"/>
      <c r="N17" s="62"/>
      <c r="O17" s="62"/>
      <c r="P17" s="62"/>
      <c r="Q17" s="62"/>
      <c r="R17" s="62"/>
      <c r="S17" s="62"/>
      <c r="T17" s="62"/>
      <c r="U17" s="63"/>
      <c r="V17" s="23"/>
      <c r="W17" s="23"/>
    </row>
    <row r="18" spans="1:23" x14ac:dyDescent="0.25">
      <c r="A18" s="32">
        <v>15</v>
      </c>
      <c r="B18" s="39"/>
      <c r="C18" s="39"/>
      <c r="D18" s="39"/>
      <c r="E18" s="39"/>
      <c r="F18" s="39"/>
      <c r="G18" s="39"/>
      <c r="H18" s="39"/>
      <c r="I18" s="40"/>
      <c r="J18" s="39"/>
      <c r="K18" s="23"/>
      <c r="L18" s="23"/>
      <c r="M18" s="23"/>
      <c r="N18" s="23"/>
      <c r="O18" s="23"/>
      <c r="P18" s="23"/>
      <c r="Q18" s="23"/>
      <c r="R18" s="23"/>
      <c r="S18" s="23"/>
      <c r="T18" s="23"/>
      <c r="U18" s="23"/>
      <c r="V18" s="23"/>
      <c r="W18" s="23"/>
    </row>
    <row r="19" spans="1:23" x14ac:dyDescent="0.25">
      <c r="A19" s="32">
        <v>16</v>
      </c>
      <c r="B19" s="39"/>
      <c r="C19" s="39"/>
      <c r="D19" s="39"/>
      <c r="E19" s="39"/>
      <c r="F19" s="39"/>
      <c r="G19" s="39"/>
      <c r="H19" s="39"/>
      <c r="I19" s="40"/>
      <c r="J19" s="39"/>
      <c r="K19" s="23"/>
      <c r="L19" s="23"/>
      <c r="M19" s="23"/>
      <c r="N19" s="23"/>
      <c r="O19" s="23"/>
      <c r="P19" s="23"/>
      <c r="Q19" s="23"/>
      <c r="R19" s="23"/>
      <c r="S19" s="23"/>
      <c r="T19" s="23"/>
      <c r="U19" s="23"/>
      <c r="V19" s="23"/>
      <c r="W19" s="23"/>
    </row>
    <row r="20" spans="1:23" x14ac:dyDescent="0.25">
      <c r="A20" s="32">
        <v>17</v>
      </c>
      <c r="B20" s="39"/>
      <c r="C20" s="39"/>
      <c r="D20" s="39"/>
      <c r="E20" s="39"/>
      <c r="F20" s="39"/>
      <c r="G20" s="39"/>
      <c r="H20" s="39"/>
      <c r="I20" s="40"/>
      <c r="J20" s="39"/>
      <c r="K20" s="23"/>
      <c r="L20" s="23"/>
      <c r="M20" s="23"/>
      <c r="N20" s="23"/>
      <c r="O20" s="23"/>
      <c r="P20" s="23"/>
      <c r="Q20" s="23"/>
      <c r="R20" s="23"/>
      <c r="S20" s="23"/>
      <c r="T20" s="23"/>
      <c r="U20" s="23"/>
      <c r="V20" s="23"/>
      <c r="W20" s="23"/>
    </row>
    <row r="21" spans="1:23" x14ac:dyDescent="0.25">
      <c r="A21" s="32">
        <v>18</v>
      </c>
      <c r="B21" s="39"/>
      <c r="C21" s="39"/>
      <c r="D21" s="39"/>
      <c r="E21" s="39"/>
      <c r="F21" s="39"/>
      <c r="G21" s="39"/>
      <c r="H21" s="39"/>
      <c r="I21" s="40"/>
      <c r="J21" s="39"/>
      <c r="K21" s="23"/>
      <c r="L21" s="23"/>
      <c r="M21" s="23"/>
      <c r="N21" s="23"/>
      <c r="O21" s="23"/>
      <c r="P21" s="23"/>
      <c r="Q21" s="23"/>
      <c r="R21" s="23"/>
      <c r="S21" s="23"/>
      <c r="T21" s="23"/>
      <c r="U21" s="23"/>
      <c r="V21" s="23"/>
      <c r="W21" s="23"/>
    </row>
    <row r="22" spans="1:23" x14ac:dyDescent="0.25">
      <c r="A22" s="32">
        <v>19</v>
      </c>
      <c r="B22" s="39"/>
      <c r="C22" s="39"/>
      <c r="D22" s="39"/>
      <c r="E22" s="39"/>
      <c r="F22" s="39"/>
      <c r="G22" s="39"/>
      <c r="H22" s="39"/>
      <c r="I22" s="40"/>
      <c r="J22" s="39"/>
      <c r="K22" s="23"/>
      <c r="L22" s="23"/>
      <c r="M22" s="23"/>
      <c r="N22" s="23"/>
      <c r="O22" s="23"/>
      <c r="P22" s="23"/>
      <c r="Q22" s="23"/>
      <c r="R22" s="23"/>
      <c r="S22" s="23"/>
      <c r="T22" s="23"/>
      <c r="U22" s="23"/>
      <c r="V22" s="23"/>
      <c r="W22" s="23"/>
    </row>
    <row r="23" spans="1:23" x14ac:dyDescent="0.25">
      <c r="A23" s="32">
        <v>20</v>
      </c>
      <c r="B23" s="39"/>
      <c r="C23" s="39"/>
      <c r="D23" s="39"/>
      <c r="E23" s="39"/>
      <c r="F23" s="39"/>
      <c r="G23" s="39"/>
      <c r="H23" s="39"/>
      <c r="I23" s="40"/>
      <c r="J23" s="39"/>
      <c r="K23" s="23"/>
      <c r="L23" s="23"/>
      <c r="M23" s="23"/>
      <c r="N23" s="23"/>
      <c r="O23" s="23"/>
      <c r="P23" s="23"/>
      <c r="Q23" s="23"/>
      <c r="R23" s="23"/>
      <c r="S23" s="23"/>
      <c r="T23" s="23"/>
      <c r="U23" s="23"/>
      <c r="V23" s="23"/>
      <c r="W23" s="23"/>
    </row>
    <row r="24" spans="1:23" x14ac:dyDescent="0.25">
      <c r="A24" s="32">
        <v>21</v>
      </c>
      <c r="B24" s="39"/>
      <c r="C24" s="39"/>
      <c r="D24" s="39"/>
      <c r="E24" s="39"/>
      <c r="F24" s="39"/>
      <c r="G24" s="39"/>
      <c r="H24" s="39"/>
      <c r="I24" s="40"/>
      <c r="J24" s="39"/>
      <c r="K24" s="23"/>
      <c r="L24" s="23"/>
      <c r="M24" s="23"/>
      <c r="N24" s="23"/>
      <c r="O24" s="23"/>
      <c r="P24" s="23"/>
      <c r="Q24" s="23"/>
      <c r="R24" s="23"/>
      <c r="S24" s="23"/>
      <c r="T24" s="23"/>
      <c r="U24" s="23"/>
      <c r="V24" s="23"/>
      <c r="W24" s="23"/>
    </row>
    <row r="25" spans="1:23" x14ac:dyDescent="0.25">
      <c r="A25" s="32">
        <v>22</v>
      </c>
      <c r="B25" s="39"/>
      <c r="C25" s="39"/>
      <c r="D25" s="39"/>
      <c r="E25" s="39"/>
      <c r="F25" s="39"/>
      <c r="G25" s="39"/>
      <c r="H25" s="39"/>
      <c r="I25" s="40"/>
      <c r="J25" s="39"/>
      <c r="K25" s="23"/>
      <c r="L25" s="23"/>
      <c r="M25" s="23"/>
      <c r="N25" s="23"/>
      <c r="O25" s="23"/>
      <c r="P25" s="23"/>
      <c r="Q25" s="23"/>
      <c r="R25" s="23"/>
      <c r="S25" s="23"/>
      <c r="T25" s="23"/>
      <c r="U25" s="23"/>
      <c r="V25" s="23"/>
      <c r="W25" s="23"/>
    </row>
    <row r="26" spans="1:23" x14ac:dyDescent="0.25">
      <c r="A26" s="32">
        <v>23</v>
      </c>
      <c r="B26" s="39"/>
      <c r="C26" s="39"/>
      <c r="D26" s="39"/>
      <c r="E26" s="39"/>
      <c r="F26" s="39"/>
      <c r="G26" s="39"/>
      <c r="H26" s="39"/>
      <c r="I26" s="40"/>
      <c r="J26" s="39"/>
      <c r="K26" s="23"/>
      <c r="L26" s="23"/>
      <c r="M26" s="23"/>
      <c r="N26" s="23"/>
      <c r="O26" s="23"/>
      <c r="P26" s="23"/>
      <c r="Q26" s="23"/>
      <c r="R26" s="23"/>
      <c r="S26" s="23"/>
      <c r="T26" s="23"/>
      <c r="U26" s="23"/>
      <c r="V26" s="23"/>
      <c r="W26" s="23"/>
    </row>
    <row r="27" spans="1:23" x14ac:dyDescent="0.25">
      <c r="A27" s="32">
        <v>24</v>
      </c>
      <c r="B27" s="39"/>
      <c r="C27" s="39"/>
      <c r="D27" s="39"/>
      <c r="E27" s="39"/>
      <c r="F27" s="39"/>
      <c r="G27" s="39"/>
      <c r="H27" s="39"/>
      <c r="I27" s="40"/>
      <c r="J27" s="39"/>
      <c r="K27" s="23"/>
      <c r="L27" s="23"/>
      <c r="M27" s="23"/>
      <c r="N27" s="23"/>
      <c r="O27" s="23"/>
      <c r="P27" s="23"/>
      <c r="Q27" s="23"/>
      <c r="R27" s="23"/>
      <c r="S27" s="23"/>
      <c r="T27" s="23"/>
      <c r="U27" s="23"/>
      <c r="V27" s="23"/>
      <c r="W27" s="23"/>
    </row>
    <row r="28" spans="1:23" x14ac:dyDescent="0.25">
      <c r="A28" s="32">
        <v>25</v>
      </c>
      <c r="B28" s="39"/>
      <c r="C28" s="39"/>
      <c r="D28" s="39"/>
      <c r="E28" s="39"/>
      <c r="F28" s="39"/>
      <c r="G28" s="39"/>
      <c r="H28" s="39"/>
      <c r="I28" s="40"/>
      <c r="J28" s="39"/>
      <c r="K28" s="23"/>
      <c r="L28" s="23"/>
      <c r="M28" s="23"/>
      <c r="N28" s="23"/>
      <c r="O28" s="23"/>
      <c r="P28" s="23"/>
      <c r="Q28" s="23"/>
      <c r="R28" s="23"/>
      <c r="S28" s="23"/>
      <c r="T28" s="23"/>
      <c r="U28" s="23"/>
      <c r="V28" s="23"/>
      <c r="W28" s="23"/>
    </row>
  </sheetData>
  <mergeCells count="2">
    <mergeCell ref="L4:U4"/>
    <mergeCell ref="L16:U16"/>
  </mergeCell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AH32"/>
  <sheetViews>
    <sheetView showGridLines="0" workbookViewId="0">
      <selection activeCell="R1" sqref="R1"/>
    </sheetView>
  </sheetViews>
  <sheetFormatPr defaultRowHeight="15.75" x14ac:dyDescent="0.25"/>
  <cols>
    <col min="1" max="1" width="7.875" bestFit="1" customWidth="1"/>
    <col min="2" max="3" width="10" bestFit="1" customWidth="1"/>
    <col min="4" max="4" width="19" bestFit="1" customWidth="1"/>
    <col min="5" max="5" width="8.375" bestFit="1" customWidth="1"/>
    <col min="6" max="6" width="5.375" bestFit="1" customWidth="1"/>
    <col min="7" max="7" width="5.875" bestFit="1" customWidth="1"/>
    <col min="8" max="8" width="11.875" bestFit="1" customWidth="1"/>
    <col min="9" max="9" width="11.875" customWidth="1"/>
    <col min="10" max="10" width="12.125" bestFit="1" customWidth="1"/>
    <col min="11" max="11" width="3.75" customWidth="1"/>
    <col min="12" max="31" width="3.625" customWidth="1"/>
    <col min="32" max="32" width="3" customWidth="1"/>
  </cols>
  <sheetData>
    <row r="1" spans="1:34" x14ac:dyDescent="0.25">
      <c r="A1" s="16"/>
      <c r="B1" s="16"/>
      <c r="C1" s="16"/>
      <c r="D1" s="16"/>
      <c r="E1" s="16"/>
      <c r="F1" s="16"/>
      <c r="G1" s="16"/>
      <c r="H1" s="16"/>
      <c r="I1" s="16"/>
      <c r="J1" s="16"/>
      <c r="K1" s="16"/>
      <c r="L1" s="16"/>
      <c r="M1" s="16"/>
      <c r="N1" s="16"/>
      <c r="O1" s="16"/>
      <c r="P1" s="16"/>
      <c r="Q1" s="16"/>
      <c r="R1" s="16"/>
      <c r="S1" s="17">
        <f t="shared" ref="S1:AB1" si="0">VLOOKUP(MAX($A$3:$A$147),$A$3:$H$147,2)</f>
        <v>0</v>
      </c>
      <c r="T1" s="17">
        <f t="shared" si="0"/>
        <v>0</v>
      </c>
      <c r="U1" s="17">
        <f t="shared" si="0"/>
        <v>0</v>
      </c>
      <c r="V1" s="17">
        <f t="shared" si="0"/>
        <v>0</v>
      </c>
      <c r="W1" s="17">
        <f t="shared" si="0"/>
        <v>0</v>
      </c>
      <c r="X1" s="17">
        <f t="shared" si="0"/>
        <v>0</v>
      </c>
      <c r="Y1" s="17">
        <f t="shared" si="0"/>
        <v>0</v>
      </c>
      <c r="Z1" s="17">
        <f t="shared" si="0"/>
        <v>0</v>
      </c>
      <c r="AA1" s="17">
        <f t="shared" si="0"/>
        <v>0</v>
      </c>
      <c r="AB1" s="17">
        <f t="shared" si="0"/>
        <v>0</v>
      </c>
      <c r="AC1" s="18"/>
      <c r="AD1" s="18"/>
      <c r="AE1" s="18"/>
      <c r="AF1" s="18"/>
      <c r="AG1" s="166"/>
      <c r="AH1" s="18"/>
    </row>
    <row r="2" spans="1:34" ht="16.5" thickBot="1" x14ac:dyDescent="0.3">
      <c r="A2" s="73"/>
      <c r="B2" s="20"/>
      <c r="C2" s="20"/>
      <c r="D2" s="20"/>
      <c r="E2" s="20"/>
      <c r="F2" s="20"/>
      <c r="G2" s="20"/>
      <c r="H2" s="20"/>
      <c r="I2" s="22"/>
      <c r="J2" s="20"/>
      <c r="K2" s="23"/>
      <c r="L2" s="23"/>
      <c r="M2" s="23"/>
      <c r="N2" s="23"/>
      <c r="O2" s="23"/>
      <c r="P2" s="23"/>
      <c r="Q2" s="23"/>
      <c r="R2" s="23"/>
      <c r="S2" s="23"/>
      <c r="T2" s="23"/>
      <c r="U2" s="23"/>
      <c r="V2" s="23"/>
      <c r="W2" s="23"/>
      <c r="X2" s="23"/>
      <c r="Y2" s="23"/>
      <c r="Z2" s="23"/>
      <c r="AA2" s="23"/>
      <c r="AB2" s="23"/>
      <c r="AC2" s="23"/>
      <c r="AD2" s="23"/>
      <c r="AE2" s="23"/>
      <c r="AF2" s="23"/>
      <c r="AG2" s="167"/>
      <c r="AH2" s="23"/>
    </row>
    <row r="3" spans="1:34" x14ac:dyDescent="0.25">
      <c r="A3" s="68" t="s">
        <v>38</v>
      </c>
      <c r="B3" s="69" t="s">
        <v>39</v>
      </c>
      <c r="C3" s="69" t="s">
        <v>40</v>
      </c>
      <c r="D3" s="69" t="s">
        <v>41</v>
      </c>
      <c r="E3" s="68" t="s">
        <v>42</v>
      </c>
      <c r="F3" s="68" t="s">
        <v>43</v>
      </c>
      <c r="G3" s="68" t="s">
        <v>44</v>
      </c>
      <c r="H3" s="68" t="s">
        <v>45</v>
      </c>
      <c r="I3" s="68" t="s">
        <v>46</v>
      </c>
      <c r="J3" s="68" t="s">
        <v>47</v>
      </c>
      <c r="K3" s="23"/>
      <c r="L3" s="29"/>
      <c r="M3" s="30"/>
      <c r="N3" s="30"/>
      <c r="O3" s="30"/>
      <c r="P3" s="30"/>
      <c r="Q3" s="30"/>
      <c r="R3" s="30"/>
      <c r="S3" s="30"/>
      <c r="T3" s="30"/>
      <c r="U3" s="30"/>
      <c r="V3" s="30"/>
      <c r="W3" s="30"/>
      <c r="X3" s="30"/>
      <c r="Y3" s="30"/>
      <c r="Z3" s="30"/>
      <c r="AA3" s="30"/>
      <c r="AB3" s="30"/>
      <c r="AC3" s="30"/>
      <c r="AD3" s="30"/>
      <c r="AE3" s="31"/>
      <c r="AF3" s="23"/>
      <c r="AG3" s="167">
        <f>LARGE(AG4:AG100000,1)</f>
        <v>7</v>
      </c>
      <c r="AH3" s="23"/>
    </row>
    <row r="4" spans="1:34" x14ac:dyDescent="0.25">
      <c r="A4" s="32">
        <v>1</v>
      </c>
      <c r="B4" s="33" t="s">
        <v>48</v>
      </c>
      <c r="C4" s="34" t="s">
        <v>49</v>
      </c>
      <c r="D4" s="34" t="s">
        <v>50</v>
      </c>
      <c r="E4" s="34" t="s">
        <v>51</v>
      </c>
      <c r="F4" s="35" t="s">
        <v>52</v>
      </c>
      <c r="G4" s="35">
        <v>30062</v>
      </c>
      <c r="H4" s="33" t="s">
        <v>53</v>
      </c>
      <c r="I4" s="37" t="s">
        <v>54</v>
      </c>
      <c r="J4" s="70">
        <v>157665</v>
      </c>
      <c r="K4" s="23"/>
      <c r="L4" s="300" t="s">
        <v>55</v>
      </c>
      <c r="M4" s="301"/>
      <c r="N4" s="301"/>
      <c r="O4" s="301"/>
      <c r="P4" s="301"/>
      <c r="Q4" s="301"/>
      <c r="R4" s="301"/>
      <c r="S4" s="301"/>
      <c r="T4" s="301"/>
      <c r="U4" s="301"/>
      <c r="V4" s="301"/>
      <c r="W4" s="301"/>
      <c r="X4" s="301"/>
      <c r="Y4" s="301"/>
      <c r="Z4" s="301"/>
      <c r="AA4" s="301"/>
      <c r="AB4" s="301"/>
      <c r="AC4" s="301"/>
      <c r="AD4" s="301"/>
      <c r="AE4" s="302"/>
      <c r="AF4" s="23"/>
      <c r="AG4" s="167">
        <f>IF(ISBLANK(B4),0,A4)</f>
        <v>1</v>
      </c>
      <c r="AH4" s="23"/>
    </row>
    <row r="5" spans="1:34" x14ac:dyDescent="0.25">
      <c r="A5" s="32">
        <v>2</v>
      </c>
      <c r="B5" s="39" t="s">
        <v>56</v>
      </c>
      <c r="C5" s="39" t="s">
        <v>57</v>
      </c>
      <c r="D5" s="39" t="s">
        <v>58</v>
      </c>
      <c r="E5" s="39" t="s">
        <v>51</v>
      </c>
      <c r="F5" s="40" t="s">
        <v>52</v>
      </c>
      <c r="G5" s="40">
        <v>30063</v>
      </c>
      <c r="H5" s="42" t="s">
        <v>59</v>
      </c>
      <c r="I5" s="43" t="s">
        <v>60</v>
      </c>
      <c r="J5" s="71">
        <v>156340</v>
      </c>
      <c r="K5" s="23"/>
      <c r="L5" s="45"/>
      <c r="M5" s="46"/>
      <c r="N5" s="46"/>
      <c r="O5" s="46"/>
      <c r="P5" s="46"/>
      <c r="Q5" s="46"/>
      <c r="R5" s="46"/>
      <c r="S5" s="46"/>
      <c r="T5" s="46"/>
      <c r="U5" s="46"/>
      <c r="V5" s="46"/>
      <c r="W5" s="46"/>
      <c r="X5" s="46"/>
      <c r="Y5" s="46"/>
      <c r="Z5" s="46"/>
      <c r="AA5" s="46"/>
      <c r="AB5" s="46"/>
      <c r="AC5" s="46"/>
      <c r="AD5" s="46"/>
      <c r="AE5" s="47"/>
      <c r="AF5" s="23"/>
      <c r="AG5" s="167">
        <f t="shared" ref="AG5:AG32" si="1">IF(ISBLANK(B5),0,A5)</f>
        <v>2</v>
      </c>
      <c r="AH5" s="23"/>
    </row>
    <row r="6" spans="1:34" x14ac:dyDescent="0.25">
      <c r="A6" s="32">
        <v>3</v>
      </c>
      <c r="B6" s="39" t="s">
        <v>61</v>
      </c>
      <c r="C6" s="42" t="s">
        <v>62</v>
      </c>
      <c r="D6" s="39" t="s">
        <v>63</v>
      </c>
      <c r="E6" s="39" t="s">
        <v>51</v>
      </c>
      <c r="F6" s="40" t="s">
        <v>52</v>
      </c>
      <c r="G6" s="40">
        <v>30064</v>
      </c>
      <c r="H6" s="42" t="s">
        <v>64</v>
      </c>
      <c r="I6" s="43" t="s">
        <v>65</v>
      </c>
      <c r="J6" s="71">
        <v>81480</v>
      </c>
      <c r="K6" s="23"/>
      <c r="L6" s="45"/>
      <c r="M6" s="48" t="s">
        <v>39</v>
      </c>
      <c r="N6" s="46"/>
      <c r="O6" s="46"/>
      <c r="P6" s="49" t="str">
        <f>VLOOKUP($AG$3,$A$4:$J$100000,2,FALSE)</f>
        <v>Collins</v>
      </c>
      <c r="Q6" s="50"/>
      <c r="R6" s="50"/>
      <c r="S6" s="50"/>
      <c r="T6" s="50"/>
      <c r="U6" s="51"/>
      <c r="V6" s="46"/>
      <c r="W6" s="52" t="s">
        <v>42</v>
      </c>
      <c r="X6" s="46"/>
      <c r="Y6" s="49" t="str">
        <f>VLOOKUP($AG$3,$A$4:$J$100000,5,FALSE)</f>
        <v>Norcross</v>
      </c>
      <c r="Z6" s="50"/>
      <c r="AA6" s="50"/>
      <c r="AB6" s="50"/>
      <c r="AC6" s="50"/>
      <c r="AD6" s="51"/>
      <c r="AE6" s="47"/>
      <c r="AF6" s="23"/>
      <c r="AG6" s="167">
        <f t="shared" si="1"/>
        <v>3</v>
      </c>
      <c r="AH6" s="23"/>
    </row>
    <row r="7" spans="1:34" x14ac:dyDescent="0.25">
      <c r="A7" s="32">
        <v>4</v>
      </c>
      <c r="B7" s="39" t="s">
        <v>66</v>
      </c>
      <c r="C7" s="42" t="s">
        <v>67</v>
      </c>
      <c r="D7" s="39" t="s">
        <v>68</v>
      </c>
      <c r="E7" s="39" t="s">
        <v>51</v>
      </c>
      <c r="F7" s="40" t="s">
        <v>52</v>
      </c>
      <c r="G7" s="40">
        <v>30065</v>
      </c>
      <c r="H7" s="42" t="s">
        <v>69</v>
      </c>
      <c r="I7" s="43" t="s">
        <v>54</v>
      </c>
      <c r="J7" s="71">
        <v>202578</v>
      </c>
      <c r="K7" s="23"/>
      <c r="L7" s="45"/>
      <c r="M7" s="46"/>
      <c r="N7" s="46"/>
      <c r="O7" s="46"/>
      <c r="P7" s="46"/>
      <c r="Q7" s="46"/>
      <c r="R7" s="46"/>
      <c r="S7" s="46"/>
      <c r="T7" s="46"/>
      <c r="U7" s="46"/>
      <c r="V7" s="46"/>
      <c r="W7" s="46"/>
      <c r="X7" s="46"/>
      <c r="Y7" s="46"/>
      <c r="Z7" s="46"/>
      <c r="AA7" s="46"/>
      <c r="AB7" s="46"/>
      <c r="AC7" s="46"/>
      <c r="AD7" s="46"/>
      <c r="AE7" s="47"/>
      <c r="AF7" s="23"/>
      <c r="AG7" s="167">
        <f t="shared" si="1"/>
        <v>4</v>
      </c>
      <c r="AH7" s="23"/>
    </row>
    <row r="8" spans="1:34" x14ac:dyDescent="0.25">
      <c r="A8" s="32">
        <v>5</v>
      </c>
      <c r="B8" s="42" t="s">
        <v>70</v>
      </c>
      <c r="C8" s="39" t="s">
        <v>71</v>
      </c>
      <c r="D8" s="39" t="s">
        <v>72</v>
      </c>
      <c r="E8" s="39" t="s">
        <v>51</v>
      </c>
      <c r="F8" s="40" t="s">
        <v>52</v>
      </c>
      <c r="G8" s="40">
        <v>30066</v>
      </c>
      <c r="H8" s="42" t="s">
        <v>73</v>
      </c>
      <c r="I8" s="43" t="s">
        <v>60</v>
      </c>
      <c r="J8" s="71">
        <v>177209</v>
      </c>
      <c r="K8" s="23"/>
      <c r="L8" s="45"/>
      <c r="M8" s="48" t="s">
        <v>40</v>
      </c>
      <c r="N8" s="46"/>
      <c r="O8" s="46"/>
      <c r="P8" s="49" t="str">
        <f>VLOOKUP($AG$3,$A$4:$J$100000,3,FALSE)</f>
        <v>Carlton</v>
      </c>
      <c r="Q8" s="50"/>
      <c r="R8" s="50"/>
      <c r="S8" s="50"/>
      <c r="T8" s="50"/>
      <c r="U8" s="51"/>
      <c r="V8" s="46"/>
      <c r="W8" s="52" t="s">
        <v>43</v>
      </c>
      <c r="X8" s="46"/>
      <c r="Y8" s="49" t="str">
        <f>VLOOKUP($AG$3,$A$4:$J$100000,6,FALSE)</f>
        <v xml:space="preserve">GA </v>
      </c>
      <c r="Z8" s="50"/>
      <c r="AA8" s="50"/>
      <c r="AB8" s="50"/>
      <c r="AC8" s="50"/>
      <c r="AD8" s="51"/>
      <c r="AE8" s="47"/>
      <c r="AF8" s="23"/>
      <c r="AG8" s="167">
        <f t="shared" si="1"/>
        <v>5</v>
      </c>
      <c r="AH8" s="23"/>
    </row>
    <row r="9" spans="1:34" x14ac:dyDescent="0.25">
      <c r="A9" s="32">
        <v>6</v>
      </c>
      <c r="B9" s="39" t="s">
        <v>74</v>
      </c>
      <c r="C9" s="39" t="s">
        <v>75</v>
      </c>
      <c r="D9" s="39" t="s">
        <v>76</v>
      </c>
      <c r="E9" s="39" t="s">
        <v>77</v>
      </c>
      <c r="F9" s="40" t="s">
        <v>52</v>
      </c>
      <c r="G9" s="40">
        <v>30092</v>
      </c>
      <c r="H9" s="42" t="s">
        <v>78</v>
      </c>
      <c r="I9" s="43" t="s">
        <v>65</v>
      </c>
      <c r="J9" s="71">
        <v>212254.23</v>
      </c>
      <c r="K9" s="23"/>
      <c r="L9" s="45"/>
      <c r="M9" s="46"/>
      <c r="N9" s="46"/>
      <c r="O9" s="46"/>
      <c r="P9" s="46"/>
      <c r="Q9" s="46"/>
      <c r="R9" s="46"/>
      <c r="S9" s="46"/>
      <c r="T9" s="46"/>
      <c r="U9" s="46"/>
      <c r="V9" s="46"/>
      <c r="W9" s="46"/>
      <c r="X9" s="46"/>
      <c r="Y9" s="46"/>
      <c r="Z9" s="46"/>
      <c r="AA9" s="46"/>
      <c r="AB9" s="46"/>
      <c r="AC9" s="46"/>
      <c r="AD9" s="46"/>
      <c r="AE9" s="47"/>
      <c r="AF9" s="23"/>
      <c r="AG9" s="167">
        <f t="shared" si="1"/>
        <v>6</v>
      </c>
      <c r="AH9" s="23"/>
    </row>
    <row r="10" spans="1:34" x14ac:dyDescent="0.25">
      <c r="A10" s="32">
        <v>7</v>
      </c>
      <c r="B10" s="39" t="s">
        <v>79</v>
      </c>
      <c r="C10" s="39" t="s">
        <v>80</v>
      </c>
      <c r="D10" s="39" t="s">
        <v>50</v>
      </c>
      <c r="E10" s="39" t="s">
        <v>81</v>
      </c>
      <c r="F10" s="40" t="s">
        <v>82</v>
      </c>
      <c r="G10" s="40">
        <v>30092</v>
      </c>
      <c r="H10" s="42" t="s">
        <v>53</v>
      </c>
      <c r="I10" s="43" t="s">
        <v>54</v>
      </c>
      <c r="J10" s="71">
        <v>124533.45</v>
      </c>
      <c r="K10" s="23"/>
      <c r="L10" s="45"/>
      <c r="M10" s="48" t="s">
        <v>41</v>
      </c>
      <c r="N10" s="46"/>
      <c r="O10" s="46"/>
      <c r="P10" s="49" t="str">
        <f>VLOOKUP($AG$3,$A$4:$J$100000,4,FALSE)</f>
        <v>100 Peachtree Street</v>
      </c>
      <c r="Q10" s="50"/>
      <c r="R10" s="50"/>
      <c r="S10" s="50"/>
      <c r="T10" s="50"/>
      <c r="U10" s="51"/>
      <c r="V10" s="46"/>
      <c r="W10" s="52" t="s">
        <v>44</v>
      </c>
      <c r="X10" s="46"/>
      <c r="Y10" s="350">
        <f>VLOOKUP($AG$3,$A$4:$J$100000,7,FALSE)</f>
        <v>30092</v>
      </c>
      <c r="Z10" s="351"/>
      <c r="AA10" s="351"/>
      <c r="AB10" s="351"/>
      <c r="AC10" s="351"/>
      <c r="AD10" s="352"/>
      <c r="AE10" s="47"/>
      <c r="AF10" s="23"/>
      <c r="AG10" s="167">
        <f t="shared" si="1"/>
        <v>7</v>
      </c>
      <c r="AH10" s="23"/>
    </row>
    <row r="11" spans="1:34" x14ac:dyDescent="0.25">
      <c r="A11" s="32">
        <v>8</v>
      </c>
      <c r="B11" s="39"/>
      <c r="C11" s="39"/>
      <c r="D11" s="39"/>
      <c r="E11" s="39"/>
      <c r="F11" s="39"/>
      <c r="G11" s="39"/>
      <c r="H11" s="39"/>
      <c r="I11" s="40"/>
      <c r="J11" s="39"/>
      <c r="K11" s="23"/>
      <c r="L11" s="45"/>
      <c r="M11" s="46"/>
      <c r="N11" s="46"/>
      <c r="O11" s="46"/>
      <c r="P11" s="46"/>
      <c r="Q11" s="46"/>
      <c r="R11" s="46"/>
      <c r="S11" s="46"/>
      <c r="T11" s="46"/>
      <c r="U11" s="46"/>
      <c r="V11" s="46"/>
      <c r="W11" s="46"/>
      <c r="X11" s="46"/>
      <c r="Y11" s="46"/>
      <c r="Z11" s="46"/>
      <c r="AA11" s="46"/>
      <c r="AB11" s="46"/>
      <c r="AC11" s="46"/>
      <c r="AD11" s="46"/>
      <c r="AE11" s="47"/>
      <c r="AF11" s="23"/>
      <c r="AG11" s="167">
        <f t="shared" si="1"/>
        <v>0</v>
      </c>
      <c r="AH11" s="23"/>
    </row>
    <row r="12" spans="1:34" x14ac:dyDescent="0.25">
      <c r="A12" s="32">
        <v>9</v>
      </c>
      <c r="B12" s="39"/>
      <c r="C12" s="39"/>
      <c r="D12" s="39"/>
      <c r="E12" s="39"/>
      <c r="F12" s="39"/>
      <c r="G12" s="39"/>
      <c r="H12" s="39"/>
      <c r="I12" s="40"/>
      <c r="J12" s="39"/>
      <c r="K12" s="23"/>
      <c r="L12" s="45"/>
      <c r="M12" s="52" t="s">
        <v>45</v>
      </c>
      <c r="N12" s="46"/>
      <c r="O12" s="46"/>
      <c r="P12" s="49" t="str">
        <f>VLOOKUP($AG$3,$A$4:$J$100000,6,FALSE)</f>
        <v xml:space="preserve">GA </v>
      </c>
      <c r="Q12" s="50"/>
      <c r="R12" s="50"/>
      <c r="S12" s="50"/>
      <c r="T12" s="50"/>
      <c r="U12" s="51"/>
      <c r="V12" s="46"/>
      <c r="W12" s="60" t="s">
        <v>99</v>
      </c>
      <c r="X12" s="46"/>
      <c r="Y12" s="49" t="str">
        <f>VLOOKUP($AG$3,$A$4:$J$100000,9,FALSE)</f>
        <v>Plan A</v>
      </c>
      <c r="Z12" s="50"/>
      <c r="AA12" s="50"/>
      <c r="AB12" s="50"/>
      <c r="AC12" s="50"/>
      <c r="AD12" s="51"/>
      <c r="AE12" s="47"/>
      <c r="AF12" s="23"/>
      <c r="AG12" s="167">
        <f t="shared" si="1"/>
        <v>0</v>
      </c>
      <c r="AH12" s="23"/>
    </row>
    <row r="13" spans="1:34" x14ac:dyDescent="0.25">
      <c r="A13" s="32">
        <v>10</v>
      </c>
      <c r="B13" s="39"/>
      <c r="C13" s="39"/>
      <c r="D13" s="39"/>
      <c r="E13" s="39"/>
      <c r="F13" s="39"/>
      <c r="G13" s="39"/>
      <c r="H13" s="39"/>
      <c r="I13" s="40"/>
      <c r="J13" s="39"/>
      <c r="K13" s="23"/>
      <c r="L13" s="45"/>
      <c r="M13" s="46"/>
      <c r="N13" s="46"/>
      <c r="O13" s="46"/>
      <c r="P13" s="46"/>
      <c r="Q13" s="46"/>
      <c r="R13" s="46"/>
      <c r="S13" s="46"/>
      <c r="T13" s="46"/>
      <c r="U13" s="46"/>
      <c r="V13" s="46"/>
      <c r="W13" s="46"/>
      <c r="X13" s="46"/>
      <c r="Y13" s="46"/>
      <c r="Z13" s="46"/>
      <c r="AA13" s="46"/>
      <c r="AB13" s="46"/>
      <c r="AC13" s="46"/>
      <c r="AD13" s="46"/>
      <c r="AE13" s="47"/>
      <c r="AF13" s="23"/>
      <c r="AG13" s="167">
        <f t="shared" si="1"/>
        <v>0</v>
      </c>
      <c r="AH13" s="23"/>
    </row>
    <row r="14" spans="1:34" x14ac:dyDescent="0.25">
      <c r="A14" s="32">
        <v>11</v>
      </c>
      <c r="B14" s="39"/>
      <c r="C14" s="39"/>
      <c r="D14" s="39"/>
      <c r="E14" s="39"/>
      <c r="F14" s="39"/>
      <c r="G14" s="39"/>
      <c r="H14" s="39"/>
      <c r="I14" s="40"/>
      <c r="J14" s="39"/>
      <c r="K14" s="23"/>
      <c r="L14" s="45"/>
      <c r="M14" s="52" t="s">
        <v>90</v>
      </c>
      <c r="N14" s="46"/>
      <c r="O14" s="46"/>
      <c r="P14" s="46"/>
      <c r="Q14" s="46"/>
      <c r="R14" s="46"/>
      <c r="S14" s="46"/>
      <c r="T14" s="46"/>
      <c r="U14" s="46"/>
      <c r="V14" s="46"/>
      <c r="W14" s="46"/>
      <c r="X14" s="46"/>
      <c r="Y14" s="350">
        <f>VLOOKUP($AG$3,$A$4:$J$100000,10,FALSE)</f>
        <v>124533.45</v>
      </c>
      <c r="Z14" s="351"/>
      <c r="AA14" s="351"/>
      <c r="AB14" s="351"/>
      <c r="AC14" s="351"/>
      <c r="AD14" s="352"/>
      <c r="AE14" s="47"/>
      <c r="AF14" s="23"/>
      <c r="AG14" s="167">
        <f t="shared" si="1"/>
        <v>0</v>
      </c>
      <c r="AH14" s="23"/>
    </row>
    <row r="15" spans="1:34" x14ac:dyDescent="0.25">
      <c r="A15" s="32">
        <v>12</v>
      </c>
      <c r="B15" s="39"/>
      <c r="C15" s="39"/>
      <c r="D15" s="39"/>
      <c r="E15" s="39"/>
      <c r="F15" s="39"/>
      <c r="G15" s="39"/>
      <c r="H15" s="39"/>
      <c r="I15" s="40"/>
      <c r="J15" s="39"/>
      <c r="K15" s="23"/>
      <c r="L15" s="45"/>
      <c r="M15" s="46"/>
      <c r="N15" s="46"/>
      <c r="O15" s="46"/>
      <c r="P15" s="46"/>
      <c r="Q15" s="46"/>
      <c r="R15" s="46"/>
      <c r="S15" s="46"/>
      <c r="T15" s="46"/>
      <c r="U15" s="46"/>
      <c r="V15" s="46"/>
      <c r="W15" s="46"/>
      <c r="X15" s="46"/>
      <c r="Y15" s="46"/>
      <c r="Z15" s="46"/>
      <c r="AA15" s="46"/>
      <c r="AB15" s="46"/>
      <c r="AC15" s="46"/>
      <c r="AD15" s="46"/>
      <c r="AE15" s="47"/>
      <c r="AF15" s="23"/>
      <c r="AG15" s="167">
        <f t="shared" si="1"/>
        <v>0</v>
      </c>
      <c r="AH15" s="23"/>
    </row>
    <row r="16" spans="1:34" x14ac:dyDescent="0.25">
      <c r="A16" s="32">
        <v>13</v>
      </c>
      <c r="B16" s="39"/>
      <c r="C16" s="39"/>
      <c r="D16" s="39"/>
      <c r="E16" s="39"/>
      <c r="F16" s="39"/>
      <c r="G16" s="39"/>
      <c r="H16" s="39"/>
      <c r="I16" s="40"/>
      <c r="J16" s="39"/>
      <c r="K16" s="23"/>
      <c r="L16" s="303" t="s">
        <v>91</v>
      </c>
      <c r="M16" s="304"/>
      <c r="N16" s="304"/>
      <c r="O16" s="304"/>
      <c r="P16" s="304"/>
      <c r="Q16" s="304"/>
      <c r="R16" s="304"/>
      <c r="S16" s="304"/>
      <c r="T16" s="304"/>
      <c r="U16" s="304"/>
      <c r="V16" s="304"/>
      <c r="W16" s="304"/>
      <c r="X16" s="304"/>
      <c r="Y16" s="304"/>
      <c r="Z16" s="304"/>
      <c r="AA16" s="304"/>
      <c r="AB16" s="304"/>
      <c r="AC16" s="304"/>
      <c r="AD16" s="304"/>
      <c r="AE16" s="305"/>
      <c r="AF16" s="23"/>
      <c r="AG16" s="167">
        <f t="shared" si="1"/>
        <v>0</v>
      </c>
      <c r="AH16" s="23"/>
    </row>
    <row r="17" spans="1:34" ht="16.5" thickBot="1" x14ac:dyDescent="0.3">
      <c r="A17" s="32">
        <v>14</v>
      </c>
      <c r="B17" s="39"/>
      <c r="C17" s="39"/>
      <c r="D17" s="39"/>
      <c r="E17" s="39"/>
      <c r="F17" s="39"/>
      <c r="G17" s="39"/>
      <c r="H17" s="39"/>
      <c r="I17" s="40"/>
      <c r="J17" s="39"/>
      <c r="K17" s="23"/>
      <c r="L17" s="61"/>
      <c r="M17" s="62"/>
      <c r="N17" s="62"/>
      <c r="O17" s="62"/>
      <c r="P17" s="62"/>
      <c r="Q17" s="62"/>
      <c r="R17" s="62"/>
      <c r="S17" s="62"/>
      <c r="T17" s="62"/>
      <c r="U17" s="62"/>
      <c r="V17" s="62"/>
      <c r="W17" s="62"/>
      <c r="X17" s="62"/>
      <c r="Y17" s="62"/>
      <c r="Z17" s="62"/>
      <c r="AA17" s="62"/>
      <c r="AB17" s="62"/>
      <c r="AC17" s="62"/>
      <c r="AD17" s="62"/>
      <c r="AE17" s="63"/>
      <c r="AF17" s="23"/>
      <c r="AG17" s="167">
        <f t="shared" si="1"/>
        <v>0</v>
      </c>
      <c r="AH17" s="23"/>
    </row>
    <row r="18" spans="1:34" x14ac:dyDescent="0.25">
      <c r="A18" s="32">
        <v>15</v>
      </c>
      <c r="B18" s="39"/>
      <c r="C18" s="39"/>
      <c r="D18" s="39"/>
      <c r="E18" s="39"/>
      <c r="F18" s="39"/>
      <c r="G18" s="39"/>
      <c r="H18" s="39"/>
      <c r="I18" s="40"/>
      <c r="J18" s="39"/>
      <c r="K18" s="23"/>
      <c r="L18" s="23"/>
      <c r="M18" s="23"/>
      <c r="N18" s="23"/>
      <c r="O18" s="23"/>
      <c r="P18" s="23"/>
      <c r="Q18" s="23"/>
      <c r="R18" s="23"/>
      <c r="S18" s="23"/>
      <c r="T18" s="23"/>
      <c r="U18" s="23"/>
      <c r="V18" s="23"/>
      <c r="W18" s="23"/>
      <c r="X18" s="23"/>
      <c r="Y18" s="23"/>
      <c r="Z18" s="23"/>
      <c r="AA18" s="23"/>
      <c r="AB18" s="23"/>
      <c r="AC18" s="23"/>
      <c r="AD18" s="23"/>
      <c r="AE18" s="23"/>
      <c r="AF18" s="23"/>
      <c r="AG18" s="167">
        <f t="shared" si="1"/>
        <v>0</v>
      </c>
      <c r="AH18" s="23"/>
    </row>
    <row r="19" spans="1:34" x14ac:dyDescent="0.25">
      <c r="A19" s="32">
        <v>16</v>
      </c>
      <c r="B19" s="39"/>
      <c r="C19" s="39"/>
      <c r="D19" s="39"/>
      <c r="E19" s="39"/>
      <c r="F19" s="39"/>
      <c r="G19" s="39"/>
      <c r="H19" s="39"/>
      <c r="I19" s="40"/>
      <c r="J19" s="39"/>
      <c r="K19" s="23"/>
      <c r="L19" s="23"/>
      <c r="M19" s="23"/>
      <c r="N19" s="23"/>
      <c r="O19" s="23"/>
      <c r="P19" s="23"/>
      <c r="Q19" s="23"/>
      <c r="R19" s="23"/>
      <c r="S19" s="23"/>
      <c r="T19" s="23"/>
      <c r="U19" s="23"/>
      <c r="V19" s="23"/>
      <c r="W19" s="23"/>
      <c r="X19" s="23"/>
      <c r="Y19" s="23"/>
      <c r="Z19" s="23"/>
      <c r="AA19" s="23"/>
      <c r="AB19" s="23"/>
      <c r="AC19" s="23"/>
      <c r="AD19" s="23"/>
      <c r="AE19" s="23"/>
      <c r="AF19" s="23"/>
      <c r="AG19" s="167">
        <f t="shared" si="1"/>
        <v>0</v>
      </c>
      <c r="AH19" s="23"/>
    </row>
    <row r="20" spans="1:34" x14ac:dyDescent="0.25">
      <c r="A20" s="32">
        <v>17</v>
      </c>
      <c r="B20" s="39"/>
      <c r="C20" s="39"/>
      <c r="D20" s="39"/>
      <c r="E20" s="39"/>
      <c r="F20" s="39"/>
      <c r="G20" s="39"/>
      <c r="H20" s="39"/>
      <c r="I20" s="40"/>
      <c r="J20" s="39"/>
      <c r="K20" s="23"/>
      <c r="L20" s="23"/>
      <c r="M20" s="23"/>
      <c r="N20" s="23"/>
      <c r="O20" s="23"/>
      <c r="P20" s="23"/>
      <c r="Q20" s="23"/>
      <c r="R20" s="23"/>
      <c r="S20" s="23"/>
      <c r="T20" s="23"/>
      <c r="U20" s="23"/>
      <c r="V20" s="23"/>
      <c r="W20" s="23"/>
      <c r="X20" s="23"/>
      <c r="Y20" s="23"/>
      <c r="Z20" s="23"/>
      <c r="AA20" s="23"/>
      <c r="AB20" s="23"/>
      <c r="AC20" s="23"/>
      <c r="AD20" s="23"/>
      <c r="AE20" s="23"/>
      <c r="AF20" s="23"/>
      <c r="AG20" s="167">
        <f t="shared" si="1"/>
        <v>0</v>
      </c>
      <c r="AH20" s="23"/>
    </row>
    <row r="21" spans="1:34" x14ac:dyDescent="0.25">
      <c r="A21" s="32">
        <v>18</v>
      </c>
      <c r="B21" s="39"/>
      <c r="C21" s="39"/>
      <c r="D21" s="39"/>
      <c r="E21" s="39"/>
      <c r="F21" s="39"/>
      <c r="G21" s="39"/>
      <c r="H21" s="39"/>
      <c r="I21" s="40"/>
      <c r="J21" s="39"/>
      <c r="K21" s="23"/>
      <c r="L21" s="23"/>
      <c r="M21" s="23"/>
      <c r="N21" s="23"/>
      <c r="O21" s="23"/>
      <c r="P21" s="23"/>
      <c r="Q21" s="23"/>
      <c r="R21" s="23"/>
      <c r="S21" s="23"/>
      <c r="T21" s="23"/>
      <c r="U21" s="23"/>
      <c r="V21" s="23"/>
      <c r="W21" s="23"/>
      <c r="X21" s="23"/>
      <c r="Y21" s="23"/>
      <c r="Z21" s="23"/>
      <c r="AA21" s="23"/>
      <c r="AB21" s="23"/>
      <c r="AC21" s="23"/>
      <c r="AD21" s="23"/>
      <c r="AE21" s="23"/>
      <c r="AF21" s="23"/>
      <c r="AG21" s="167">
        <f t="shared" si="1"/>
        <v>0</v>
      </c>
      <c r="AH21" s="23"/>
    </row>
    <row r="22" spans="1:34" x14ac:dyDescent="0.25">
      <c r="A22" s="32">
        <v>19</v>
      </c>
      <c r="B22" s="39"/>
      <c r="C22" s="39"/>
      <c r="D22" s="39"/>
      <c r="E22" s="39"/>
      <c r="F22" s="39"/>
      <c r="G22" s="39"/>
      <c r="H22" s="39"/>
      <c r="I22" s="40"/>
      <c r="J22" s="39"/>
      <c r="K22" s="23"/>
      <c r="L22" s="23"/>
      <c r="M22" s="23"/>
      <c r="N22" s="23"/>
      <c r="O22" s="23"/>
      <c r="P22" s="23"/>
      <c r="Q22" s="23"/>
      <c r="R22" s="23"/>
      <c r="S22" s="23"/>
      <c r="T22" s="23"/>
      <c r="U22" s="23"/>
      <c r="V22" s="23"/>
      <c r="W22" s="23"/>
      <c r="X22" s="23"/>
      <c r="Y22" s="23"/>
      <c r="Z22" s="23"/>
      <c r="AA22" s="23"/>
      <c r="AB22" s="23"/>
      <c r="AC22" s="23"/>
      <c r="AD22" s="23"/>
      <c r="AE22" s="23"/>
      <c r="AF22" s="23"/>
      <c r="AG22" s="167">
        <f t="shared" si="1"/>
        <v>0</v>
      </c>
      <c r="AH22" s="23"/>
    </row>
    <row r="23" spans="1:34" x14ac:dyDescent="0.25">
      <c r="A23" s="32">
        <v>20</v>
      </c>
      <c r="B23" s="39"/>
      <c r="C23" s="39"/>
      <c r="D23" s="39"/>
      <c r="E23" s="39"/>
      <c r="F23" s="39"/>
      <c r="G23" s="39"/>
      <c r="H23" s="39"/>
      <c r="I23" s="40"/>
      <c r="J23" s="39"/>
      <c r="K23" s="23"/>
      <c r="L23" s="23"/>
      <c r="M23" s="23"/>
      <c r="N23" s="23"/>
      <c r="O23" s="23"/>
      <c r="P23" s="23"/>
      <c r="Q23" s="23"/>
      <c r="R23" s="23"/>
      <c r="S23" s="23"/>
      <c r="T23" s="23"/>
      <c r="U23" s="23"/>
      <c r="V23" s="23"/>
      <c r="W23" s="23"/>
      <c r="X23" s="23"/>
      <c r="Y23" s="23"/>
      <c r="Z23" s="23"/>
      <c r="AA23" s="23"/>
      <c r="AB23" s="23"/>
      <c r="AC23" s="23"/>
      <c r="AD23" s="23"/>
      <c r="AE23" s="23"/>
      <c r="AF23" s="23"/>
      <c r="AG23" s="167">
        <f t="shared" si="1"/>
        <v>0</v>
      </c>
      <c r="AH23" s="23"/>
    </row>
    <row r="24" spans="1:34" x14ac:dyDescent="0.25">
      <c r="A24" s="32">
        <v>21</v>
      </c>
      <c r="B24" s="39"/>
      <c r="C24" s="39"/>
      <c r="D24" s="39"/>
      <c r="E24" s="39"/>
      <c r="F24" s="39"/>
      <c r="G24" s="39"/>
      <c r="H24" s="39"/>
      <c r="I24" s="40"/>
      <c r="J24" s="39"/>
      <c r="K24" s="23"/>
      <c r="L24" s="23"/>
      <c r="M24" s="23"/>
      <c r="N24" s="23"/>
      <c r="O24" s="23"/>
      <c r="P24" s="23"/>
      <c r="Q24" s="23"/>
      <c r="R24" s="23"/>
      <c r="S24" s="23"/>
      <c r="T24" s="23"/>
      <c r="U24" s="23"/>
      <c r="V24" s="23"/>
      <c r="W24" s="23"/>
      <c r="X24" s="23"/>
      <c r="Y24" s="23"/>
      <c r="Z24" s="23"/>
      <c r="AA24" s="23"/>
      <c r="AB24" s="23"/>
      <c r="AC24" s="23"/>
      <c r="AD24" s="23"/>
      <c r="AE24" s="23"/>
      <c r="AF24" s="23"/>
      <c r="AG24" s="167">
        <f t="shared" si="1"/>
        <v>0</v>
      </c>
      <c r="AH24" s="23"/>
    </row>
    <row r="25" spans="1:34" x14ac:dyDescent="0.25">
      <c r="A25" s="32">
        <v>22</v>
      </c>
      <c r="B25" s="39"/>
      <c r="C25" s="39"/>
      <c r="D25" s="39"/>
      <c r="E25" s="39"/>
      <c r="F25" s="39"/>
      <c r="G25" s="39"/>
      <c r="H25" s="39"/>
      <c r="I25" s="40"/>
      <c r="J25" s="39"/>
      <c r="K25" s="23"/>
      <c r="L25" s="23"/>
      <c r="M25" s="23"/>
      <c r="N25" s="23"/>
      <c r="O25" s="23"/>
      <c r="P25" s="23"/>
      <c r="Q25" s="23"/>
      <c r="R25" s="23"/>
      <c r="S25" s="23"/>
      <c r="T25" s="23"/>
      <c r="U25" s="23"/>
      <c r="V25" s="23"/>
      <c r="W25" s="23"/>
      <c r="X25" s="23"/>
      <c r="Y25" s="23"/>
      <c r="Z25" s="23"/>
      <c r="AA25" s="23"/>
      <c r="AB25" s="23"/>
      <c r="AC25" s="23"/>
      <c r="AD25" s="23"/>
      <c r="AE25" s="23"/>
      <c r="AF25" s="23"/>
      <c r="AG25" s="167">
        <f t="shared" si="1"/>
        <v>0</v>
      </c>
      <c r="AH25" s="23"/>
    </row>
    <row r="26" spans="1:34" x14ac:dyDescent="0.25">
      <c r="A26" s="32">
        <v>23</v>
      </c>
      <c r="B26" s="39"/>
      <c r="C26" s="39"/>
      <c r="D26" s="39"/>
      <c r="E26" s="39"/>
      <c r="F26" s="39"/>
      <c r="G26" s="39"/>
      <c r="H26" s="39"/>
      <c r="I26" s="40"/>
      <c r="J26" s="39"/>
      <c r="K26" s="23"/>
      <c r="L26" s="23"/>
      <c r="M26" s="23"/>
      <c r="N26" s="23"/>
      <c r="O26" s="23"/>
      <c r="P26" s="23"/>
      <c r="Q26" s="23"/>
      <c r="R26" s="23"/>
      <c r="S26" s="23"/>
      <c r="T26" s="23"/>
      <c r="U26" s="23"/>
      <c r="V26" s="23"/>
      <c r="W26" s="23"/>
      <c r="X26" s="23"/>
      <c r="Y26" s="23"/>
      <c r="Z26" s="23"/>
      <c r="AA26" s="23"/>
      <c r="AB26" s="23"/>
      <c r="AC26" s="23"/>
      <c r="AD26" s="23"/>
      <c r="AE26" s="23"/>
      <c r="AF26" s="23"/>
      <c r="AG26" s="167">
        <f t="shared" si="1"/>
        <v>0</v>
      </c>
      <c r="AH26" s="23"/>
    </row>
    <row r="27" spans="1:34" x14ac:dyDescent="0.25">
      <c r="A27" s="32">
        <v>24</v>
      </c>
      <c r="B27" s="39"/>
      <c r="C27" s="39"/>
      <c r="D27" s="39"/>
      <c r="E27" s="39"/>
      <c r="F27" s="39"/>
      <c r="G27" s="39"/>
      <c r="H27" s="39"/>
      <c r="I27" s="40"/>
      <c r="J27" s="39"/>
      <c r="K27" s="23"/>
      <c r="L27" s="23"/>
      <c r="M27" s="23"/>
      <c r="N27" s="23"/>
      <c r="O27" s="23"/>
      <c r="P27" s="23"/>
      <c r="Q27" s="23"/>
      <c r="R27" s="23"/>
      <c r="S27" s="23"/>
      <c r="T27" s="23"/>
      <c r="U27" s="23"/>
      <c r="V27" s="23"/>
      <c r="W27" s="23"/>
      <c r="X27" s="23"/>
      <c r="Y27" s="23"/>
      <c r="Z27" s="23"/>
      <c r="AA27" s="23"/>
      <c r="AB27" s="23"/>
      <c r="AC27" s="23"/>
      <c r="AD27" s="23"/>
      <c r="AE27" s="23"/>
      <c r="AF27" s="23"/>
      <c r="AG27" s="167">
        <f t="shared" si="1"/>
        <v>0</v>
      </c>
      <c r="AH27" s="23"/>
    </row>
    <row r="28" spans="1:34" x14ac:dyDescent="0.25">
      <c r="A28" s="32">
        <v>25</v>
      </c>
      <c r="B28" s="39"/>
      <c r="C28" s="39"/>
      <c r="D28" s="39"/>
      <c r="E28" s="39"/>
      <c r="F28" s="39"/>
      <c r="G28" s="39"/>
      <c r="H28" s="39"/>
      <c r="I28" s="40"/>
      <c r="J28" s="39"/>
      <c r="K28" s="23"/>
      <c r="L28" s="23"/>
      <c r="M28" s="23"/>
      <c r="N28" s="23"/>
      <c r="O28" s="23"/>
      <c r="P28" s="23"/>
      <c r="Q28" s="23"/>
      <c r="R28" s="23"/>
      <c r="S28" s="23"/>
      <c r="T28" s="23"/>
      <c r="U28" s="23"/>
      <c r="V28" s="23"/>
      <c r="W28" s="23"/>
      <c r="X28" s="23"/>
      <c r="Y28" s="23"/>
      <c r="Z28" s="23"/>
      <c r="AA28" s="23"/>
      <c r="AB28" s="23"/>
      <c r="AC28" s="23"/>
      <c r="AD28" s="23"/>
      <c r="AE28" s="23"/>
      <c r="AF28" s="23"/>
      <c r="AG28" s="167">
        <f t="shared" si="1"/>
        <v>0</v>
      </c>
      <c r="AH28" s="23"/>
    </row>
    <row r="29" spans="1:34" x14ac:dyDescent="0.25">
      <c r="A29" s="32">
        <v>26</v>
      </c>
      <c r="B29" s="39"/>
      <c r="C29" s="39"/>
      <c r="D29" s="39"/>
      <c r="E29" s="39"/>
      <c r="F29" s="39"/>
      <c r="G29" s="39"/>
      <c r="H29" s="39"/>
      <c r="I29" s="40"/>
      <c r="J29" s="39"/>
      <c r="K29" s="23"/>
      <c r="L29" s="23"/>
      <c r="M29" s="23"/>
      <c r="N29" s="23"/>
      <c r="O29" s="23"/>
      <c r="P29" s="23"/>
      <c r="Q29" s="23"/>
      <c r="R29" s="23"/>
      <c r="S29" s="23"/>
      <c r="T29" s="23"/>
      <c r="U29" s="23"/>
      <c r="V29" s="23"/>
      <c r="W29" s="23"/>
      <c r="X29" s="23"/>
      <c r="Y29" s="23"/>
      <c r="Z29" s="23"/>
      <c r="AA29" s="23"/>
      <c r="AB29" s="23"/>
      <c r="AC29" s="23"/>
      <c r="AD29" s="23"/>
      <c r="AE29" s="23"/>
      <c r="AF29" s="23"/>
      <c r="AG29" s="167">
        <f t="shared" si="1"/>
        <v>0</v>
      </c>
      <c r="AH29" s="23"/>
    </row>
    <row r="30" spans="1:34" x14ac:dyDescent="0.25">
      <c r="A30" s="32">
        <v>27</v>
      </c>
      <c r="B30" s="39"/>
      <c r="C30" s="39"/>
      <c r="D30" s="39"/>
      <c r="E30" s="39"/>
      <c r="F30" s="39"/>
      <c r="G30" s="39"/>
      <c r="H30" s="39"/>
      <c r="I30" s="40"/>
      <c r="J30" s="39"/>
      <c r="K30" s="23"/>
      <c r="L30" s="23"/>
      <c r="M30" s="23"/>
      <c r="N30" s="23"/>
      <c r="O30" s="23"/>
      <c r="P30" s="23"/>
      <c r="Q30" s="23"/>
      <c r="R30" s="23"/>
      <c r="S30" s="23"/>
      <c r="T30" s="23"/>
      <c r="U30" s="23"/>
      <c r="V30" s="23"/>
      <c r="W30" s="23"/>
      <c r="X30" s="23"/>
      <c r="Y30" s="23"/>
      <c r="Z30" s="23"/>
      <c r="AA30" s="23"/>
      <c r="AB30" s="23"/>
      <c r="AC30" s="23"/>
      <c r="AD30" s="23"/>
      <c r="AE30" s="23"/>
      <c r="AF30" s="23"/>
      <c r="AG30" s="167">
        <f t="shared" si="1"/>
        <v>0</v>
      </c>
      <c r="AH30" s="23"/>
    </row>
    <row r="31" spans="1:34" x14ac:dyDescent="0.25">
      <c r="A31" s="32">
        <v>28</v>
      </c>
      <c r="B31" s="39"/>
      <c r="C31" s="39"/>
      <c r="D31" s="39"/>
      <c r="E31" s="39"/>
      <c r="F31" s="39"/>
      <c r="G31" s="39"/>
      <c r="H31" s="39"/>
      <c r="I31" s="40"/>
      <c r="J31" s="39"/>
      <c r="K31" s="23"/>
      <c r="L31" s="23"/>
      <c r="M31" s="23"/>
      <c r="N31" s="23"/>
      <c r="O31" s="23"/>
      <c r="P31" s="23"/>
      <c r="Q31" s="23"/>
      <c r="R31" s="23"/>
      <c r="S31" s="23"/>
      <c r="T31" s="23"/>
      <c r="U31" s="23"/>
      <c r="V31" s="23"/>
      <c r="W31" s="23"/>
      <c r="X31" s="23"/>
      <c r="Y31" s="23"/>
      <c r="Z31" s="23"/>
      <c r="AA31" s="23"/>
      <c r="AB31" s="23"/>
      <c r="AC31" s="23"/>
      <c r="AD31" s="23"/>
      <c r="AE31" s="23"/>
      <c r="AF31" s="23"/>
      <c r="AG31" s="167">
        <f t="shared" si="1"/>
        <v>0</v>
      </c>
      <c r="AH31" s="23"/>
    </row>
    <row r="32" spans="1:34" x14ac:dyDescent="0.25">
      <c r="A32" s="32">
        <v>29</v>
      </c>
      <c r="B32" s="39"/>
      <c r="C32" s="39"/>
      <c r="D32" s="39"/>
      <c r="E32" s="39"/>
      <c r="F32" s="39"/>
      <c r="G32" s="39"/>
      <c r="H32" s="39"/>
      <c r="I32" s="40"/>
      <c r="J32" s="39"/>
      <c r="K32" s="23"/>
      <c r="L32" s="23"/>
      <c r="M32" s="23"/>
      <c r="N32" s="23"/>
      <c r="O32" s="23"/>
      <c r="P32" s="23"/>
      <c r="Q32" s="23"/>
      <c r="R32" s="23"/>
      <c r="S32" s="23"/>
      <c r="T32" s="23"/>
      <c r="U32" s="23"/>
      <c r="V32" s="23"/>
      <c r="W32" s="23"/>
      <c r="X32" s="23"/>
      <c r="Y32" s="23"/>
      <c r="Z32" s="23"/>
      <c r="AA32" s="23"/>
      <c r="AB32" s="23"/>
      <c r="AC32" s="23"/>
      <c r="AD32" s="23"/>
      <c r="AE32" s="23"/>
      <c r="AF32" s="23"/>
      <c r="AG32" s="167">
        <f t="shared" si="1"/>
        <v>0</v>
      </c>
      <c r="AH32" s="23"/>
    </row>
  </sheetData>
  <mergeCells count="4">
    <mergeCell ref="L4:AE4"/>
    <mergeCell ref="Y10:AD10"/>
    <mergeCell ref="Y14:AD14"/>
    <mergeCell ref="L16:AE16"/>
  </mergeCell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dimension ref="A1:AG29"/>
  <sheetViews>
    <sheetView showGridLines="0" workbookViewId="0">
      <selection activeCell="Q1" sqref="Q1"/>
    </sheetView>
  </sheetViews>
  <sheetFormatPr defaultRowHeight="15.75" x14ac:dyDescent="0.25"/>
  <cols>
    <col min="1" max="1" width="7.875" bestFit="1" customWidth="1"/>
    <col min="2" max="3" width="10" bestFit="1" customWidth="1"/>
    <col min="4" max="4" width="19" bestFit="1" customWidth="1"/>
    <col min="5" max="5" width="8.375" bestFit="1" customWidth="1"/>
    <col min="6" max="6" width="5.375" bestFit="1" customWidth="1"/>
    <col min="7" max="7" width="5.875" bestFit="1" customWidth="1"/>
    <col min="8" max="8" width="11.875" bestFit="1" customWidth="1"/>
    <col min="9" max="9" width="11.875" customWidth="1"/>
    <col min="10" max="10" width="12.125" bestFit="1" customWidth="1"/>
    <col min="11" max="11" width="3.75" customWidth="1"/>
    <col min="12" max="31" width="3.625" customWidth="1"/>
    <col min="32" max="32" width="3" customWidth="1"/>
  </cols>
  <sheetData>
    <row r="1" spans="1:33" x14ac:dyDescent="0.25">
      <c r="A1" s="73"/>
      <c r="B1" s="20"/>
      <c r="C1" s="20"/>
      <c r="D1" s="20"/>
      <c r="E1" s="20"/>
      <c r="F1" s="20"/>
      <c r="G1" s="20"/>
      <c r="H1" s="20"/>
      <c r="I1" s="22"/>
      <c r="J1" s="20"/>
      <c r="K1" s="23"/>
      <c r="L1" s="23"/>
      <c r="M1" s="23"/>
      <c r="N1" s="23"/>
      <c r="O1" s="23"/>
      <c r="P1" s="23"/>
      <c r="Q1" s="23"/>
      <c r="R1" s="23"/>
      <c r="S1" s="23"/>
      <c r="T1" s="23"/>
      <c r="U1" s="23"/>
      <c r="V1" s="23"/>
      <c r="W1" s="23"/>
      <c r="X1" s="23"/>
      <c r="Y1" s="23"/>
      <c r="Z1" s="23"/>
      <c r="AA1" s="23"/>
      <c r="AB1" s="23"/>
      <c r="AC1" s="23"/>
      <c r="AD1" s="23"/>
      <c r="AE1" s="23"/>
      <c r="AF1" s="23"/>
      <c r="AG1" s="23"/>
    </row>
    <row r="2" spans="1:33" ht="16.5" thickBot="1" x14ac:dyDescent="0.3">
      <c r="A2" s="73"/>
      <c r="B2" s="20"/>
      <c r="C2" s="20"/>
      <c r="D2" s="20"/>
      <c r="E2" s="20"/>
      <c r="F2" s="20"/>
      <c r="G2" s="20"/>
      <c r="H2" s="20"/>
      <c r="I2" s="22"/>
      <c r="J2" s="20"/>
      <c r="K2" s="23"/>
      <c r="L2" s="23"/>
      <c r="M2" s="23"/>
      <c r="N2" s="23"/>
      <c r="O2" s="23"/>
      <c r="P2" s="23"/>
      <c r="Q2" s="23"/>
      <c r="R2" s="23"/>
      <c r="S2" s="23"/>
      <c r="T2" s="23"/>
      <c r="U2" s="23"/>
      <c r="V2" s="23"/>
      <c r="W2" s="23"/>
      <c r="X2" s="23"/>
      <c r="Y2" s="23"/>
      <c r="Z2" s="23"/>
      <c r="AA2" s="23"/>
      <c r="AB2" s="23"/>
      <c r="AC2" s="23"/>
      <c r="AD2" s="23"/>
      <c r="AE2" s="23"/>
      <c r="AF2" s="23"/>
      <c r="AG2" s="23"/>
    </row>
    <row r="3" spans="1:33" x14ac:dyDescent="0.25">
      <c r="A3" s="68" t="s">
        <v>38</v>
      </c>
      <c r="B3" s="69" t="s">
        <v>39</v>
      </c>
      <c r="C3" s="69" t="s">
        <v>40</v>
      </c>
      <c r="D3" s="69" t="s">
        <v>41</v>
      </c>
      <c r="E3" s="68" t="s">
        <v>42</v>
      </c>
      <c r="F3" s="68" t="s">
        <v>43</v>
      </c>
      <c r="G3" s="68" t="s">
        <v>44</v>
      </c>
      <c r="H3" s="68" t="s">
        <v>45</v>
      </c>
      <c r="I3" s="68" t="s">
        <v>46</v>
      </c>
      <c r="J3" s="68" t="s">
        <v>47</v>
      </c>
      <c r="K3" s="23"/>
      <c r="L3" s="29"/>
      <c r="M3" s="30"/>
      <c r="N3" s="30"/>
      <c r="O3" s="30"/>
      <c r="P3" s="30"/>
      <c r="Q3" s="30"/>
      <c r="R3" s="30"/>
      <c r="S3" s="30"/>
      <c r="T3" s="30"/>
      <c r="U3" s="30"/>
      <c r="V3" s="30"/>
      <c r="W3" s="30"/>
      <c r="X3" s="30"/>
      <c r="Y3" s="30"/>
      <c r="Z3" s="30"/>
      <c r="AA3" s="30"/>
      <c r="AB3" s="30"/>
      <c r="AC3" s="30"/>
      <c r="AD3" s="30"/>
      <c r="AE3" s="31"/>
      <c r="AF3" s="23"/>
      <c r="AG3" s="23"/>
    </row>
    <row r="4" spans="1:33" x14ac:dyDescent="0.25">
      <c r="A4" s="32">
        <v>1</v>
      </c>
      <c r="B4" s="33" t="s">
        <v>48</v>
      </c>
      <c r="C4" s="34" t="s">
        <v>49</v>
      </c>
      <c r="D4" s="34" t="s">
        <v>50</v>
      </c>
      <c r="E4" s="34" t="s">
        <v>51</v>
      </c>
      <c r="F4" s="35" t="s">
        <v>52</v>
      </c>
      <c r="G4" s="35">
        <v>30062</v>
      </c>
      <c r="H4" s="33" t="s">
        <v>53</v>
      </c>
      <c r="I4" s="37" t="s">
        <v>54</v>
      </c>
      <c r="J4" s="70">
        <v>157665</v>
      </c>
      <c r="K4" s="23"/>
      <c r="L4" s="300" t="s">
        <v>55</v>
      </c>
      <c r="M4" s="301"/>
      <c r="N4" s="301"/>
      <c r="O4" s="301"/>
      <c r="P4" s="301"/>
      <c r="Q4" s="301"/>
      <c r="R4" s="301"/>
      <c r="S4" s="301"/>
      <c r="T4" s="301"/>
      <c r="U4" s="301"/>
      <c r="V4" s="301"/>
      <c r="W4" s="301"/>
      <c r="X4" s="301"/>
      <c r="Y4" s="301"/>
      <c r="Z4" s="301"/>
      <c r="AA4" s="301"/>
      <c r="AB4" s="301"/>
      <c r="AC4" s="301"/>
      <c r="AD4" s="301"/>
      <c r="AE4" s="302"/>
      <c r="AF4" s="23"/>
      <c r="AG4" s="23"/>
    </row>
    <row r="5" spans="1:33" x14ac:dyDescent="0.25">
      <c r="A5" s="32">
        <v>2</v>
      </c>
      <c r="B5" s="39" t="s">
        <v>56</v>
      </c>
      <c r="C5" s="39" t="s">
        <v>57</v>
      </c>
      <c r="D5" s="39" t="s">
        <v>58</v>
      </c>
      <c r="E5" s="39" t="s">
        <v>51</v>
      </c>
      <c r="F5" s="40" t="s">
        <v>52</v>
      </c>
      <c r="G5" s="40">
        <v>30063</v>
      </c>
      <c r="H5" s="42" t="s">
        <v>59</v>
      </c>
      <c r="I5" s="43" t="s">
        <v>60</v>
      </c>
      <c r="J5" s="71">
        <v>156340</v>
      </c>
      <c r="K5" s="23"/>
      <c r="L5" s="45"/>
      <c r="M5" s="46"/>
      <c r="N5" s="46"/>
      <c r="O5" s="46"/>
      <c r="P5" s="168">
        <f ca="1">MATCH("Number",INDIRECT("A1:A"&amp;COUNTA(A:A)),FALSE)</f>
        <v>3</v>
      </c>
      <c r="Q5" s="168">
        <f ca="1">INDIRECT("a"&amp;COUNTA(B:B)+HeaderRow*2-1)</f>
        <v>10</v>
      </c>
      <c r="R5" s="46"/>
      <c r="S5" s="46"/>
      <c r="T5" s="46"/>
      <c r="U5" s="46"/>
      <c r="V5" s="46"/>
      <c r="W5" s="46"/>
      <c r="X5" s="46"/>
      <c r="Y5" s="46"/>
      <c r="Z5" s="46"/>
      <c r="AA5" s="46"/>
      <c r="AB5" s="46"/>
      <c r="AC5" s="46"/>
      <c r="AD5" s="46"/>
      <c r="AE5" s="47"/>
      <c r="AF5" s="23"/>
      <c r="AG5" s="23"/>
    </row>
    <row r="6" spans="1:33" x14ac:dyDescent="0.25">
      <c r="A6" s="32">
        <v>3</v>
      </c>
      <c r="B6" s="39" t="s">
        <v>61</v>
      </c>
      <c r="C6" s="42" t="s">
        <v>62</v>
      </c>
      <c r="D6" s="39" t="s">
        <v>63</v>
      </c>
      <c r="E6" s="39" t="s">
        <v>51</v>
      </c>
      <c r="F6" s="40" t="s">
        <v>52</v>
      </c>
      <c r="G6" s="40">
        <v>30064</v>
      </c>
      <c r="H6" s="42" t="s">
        <v>64</v>
      </c>
      <c r="I6" s="43" t="s">
        <v>65</v>
      </c>
      <c r="J6" s="71">
        <v>81480</v>
      </c>
      <c r="K6" s="23"/>
      <c r="L6" s="45"/>
      <c r="M6" s="48" t="s">
        <v>39</v>
      </c>
      <c r="N6" s="46"/>
      <c r="O6" s="46"/>
      <c r="P6" s="49" t="str">
        <f ca="1">INDIRECT("b"&amp;Q5)</f>
        <v>Collins</v>
      </c>
      <c r="Q6" s="50"/>
      <c r="R6" s="50"/>
      <c r="S6" s="50"/>
      <c r="T6" s="50"/>
      <c r="U6" s="51"/>
      <c r="V6" s="46"/>
      <c r="W6" s="52" t="s">
        <v>42</v>
      </c>
      <c r="X6" s="46"/>
      <c r="Y6" s="49" t="str">
        <f ca="1">INDIRECT("e"&amp;Q5)</f>
        <v>Norcross</v>
      </c>
      <c r="Z6" s="50"/>
      <c r="AA6" s="50"/>
      <c r="AB6" s="50"/>
      <c r="AC6" s="50"/>
      <c r="AD6" s="51"/>
      <c r="AE6" s="47"/>
      <c r="AF6" s="23"/>
      <c r="AG6" s="23"/>
    </row>
    <row r="7" spans="1:33" x14ac:dyDescent="0.25">
      <c r="A7" s="32">
        <v>4</v>
      </c>
      <c r="B7" s="39" t="s">
        <v>66</v>
      </c>
      <c r="C7" s="42" t="s">
        <v>67</v>
      </c>
      <c r="D7" s="39" t="s">
        <v>68</v>
      </c>
      <c r="E7" s="39" t="s">
        <v>51</v>
      </c>
      <c r="F7" s="40" t="s">
        <v>52</v>
      </c>
      <c r="G7" s="40">
        <v>30065</v>
      </c>
      <c r="H7" s="42" t="s">
        <v>69</v>
      </c>
      <c r="I7" s="43" t="s">
        <v>54</v>
      </c>
      <c r="J7" s="71">
        <v>202578</v>
      </c>
      <c r="K7" s="23"/>
      <c r="L7" s="45"/>
      <c r="M7" s="46"/>
      <c r="N7" s="46"/>
      <c r="O7" s="46"/>
      <c r="P7" s="46"/>
      <c r="Q7" s="46"/>
      <c r="R7" s="46"/>
      <c r="S7" s="46"/>
      <c r="T7" s="46"/>
      <c r="U7" s="46"/>
      <c r="V7" s="46"/>
      <c r="W7" s="46"/>
      <c r="X7" s="46"/>
      <c r="Y7" s="46"/>
      <c r="Z7" s="46"/>
      <c r="AA7" s="46"/>
      <c r="AB7" s="46"/>
      <c r="AC7" s="46"/>
      <c r="AD7" s="46"/>
      <c r="AE7" s="47"/>
      <c r="AF7" s="23"/>
      <c r="AG7" s="23"/>
    </row>
    <row r="8" spans="1:33" x14ac:dyDescent="0.25">
      <c r="A8" s="32">
        <v>5</v>
      </c>
      <c r="B8" s="42" t="s">
        <v>70</v>
      </c>
      <c r="C8" s="39" t="s">
        <v>71</v>
      </c>
      <c r="D8" s="39" t="s">
        <v>72</v>
      </c>
      <c r="E8" s="39" t="s">
        <v>51</v>
      </c>
      <c r="F8" s="40" t="s">
        <v>52</v>
      </c>
      <c r="G8" s="40">
        <v>30066</v>
      </c>
      <c r="H8" s="42" t="s">
        <v>73</v>
      </c>
      <c r="I8" s="43" t="s">
        <v>60</v>
      </c>
      <c r="J8" s="71">
        <v>177209</v>
      </c>
      <c r="K8" s="23"/>
      <c r="L8" s="45"/>
      <c r="M8" s="48" t="s">
        <v>40</v>
      </c>
      <c r="N8" s="46"/>
      <c r="O8" s="46"/>
      <c r="P8" s="49" t="str">
        <f ca="1">INDIRECT("c"&amp;Q5)</f>
        <v>Carlton</v>
      </c>
      <c r="Q8" s="50"/>
      <c r="R8" s="50"/>
      <c r="S8" s="50"/>
      <c r="T8" s="50"/>
      <c r="U8" s="51"/>
      <c r="V8" s="46"/>
      <c r="W8" s="52" t="s">
        <v>43</v>
      </c>
      <c r="X8" s="46"/>
      <c r="Y8" s="49" t="str">
        <f ca="1">INDIRECT("f"&amp;Q5)</f>
        <v xml:space="preserve">GA </v>
      </c>
      <c r="Z8" s="50"/>
      <c r="AA8" s="50"/>
      <c r="AB8" s="50"/>
      <c r="AC8" s="50"/>
      <c r="AD8" s="51"/>
      <c r="AE8" s="47"/>
      <c r="AF8" s="23"/>
      <c r="AG8" s="23"/>
    </row>
    <row r="9" spans="1:33" x14ac:dyDescent="0.25">
      <c r="A9" s="32">
        <v>6</v>
      </c>
      <c r="B9" s="39" t="s">
        <v>74</v>
      </c>
      <c r="C9" s="39" t="s">
        <v>75</v>
      </c>
      <c r="D9" s="39" t="s">
        <v>76</v>
      </c>
      <c r="E9" s="39" t="s">
        <v>77</v>
      </c>
      <c r="F9" s="40" t="s">
        <v>52</v>
      </c>
      <c r="G9" s="40">
        <v>30092</v>
      </c>
      <c r="H9" s="42" t="s">
        <v>78</v>
      </c>
      <c r="I9" s="43" t="s">
        <v>65</v>
      </c>
      <c r="J9" s="71">
        <v>212254.23</v>
      </c>
      <c r="K9" s="23"/>
      <c r="L9" s="45"/>
      <c r="M9" s="46"/>
      <c r="N9" s="46"/>
      <c r="O9" s="46"/>
      <c r="P9" s="46"/>
      <c r="Q9" s="46"/>
      <c r="R9" s="46"/>
      <c r="S9" s="46"/>
      <c r="T9" s="46"/>
      <c r="U9" s="46"/>
      <c r="V9" s="46"/>
      <c r="W9" s="46"/>
      <c r="X9" s="46"/>
      <c r="Y9" s="46"/>
      <c r="Z9" s="46"/>
      <c r="AA9" s="46"/>
      <c r="AB9" s="46"/>
      <c r="AC9" s="46"/>
      <c r="AD9" s="46"/>
      <c r="AE9" s="47"/>
      <c r="AF9" s="23"/>
      <c r="AG9" s="23"/>
    </row>
    <row r="10" spans="1:33" x14ac:dyDescent="0.25">
      <c r="A10" s="32">
        <v>7</v>
      </c>
      <c r="B10" s="39" t="s">
        <v>79</v>
      </c>
      <c r="C10" s="39" t="s">
        <v>80</v>
      </c>
      <c r="D10" s="39" t="s">
        <v>50</v>
      </c>
      <c r="E10" s="39" t="s">
        <v>81</v>
      </c>
      <c r="F10" s="40" t="s">
        <v>82</v>
      </c>
      <c r="G10" s="40">
        <v>30092</v>
      </c>
      <c r="H10" s="42" t="s">
        <v>53</v>
      </c>
      <c r="I10" s="43" t="s">
        <v>54</v>
      </c>
      <c r="J10" s="71">
        <v>124533.45</v>
      </c>
      <c r="K10" s="23"/>
      <c r="L10" s="45"/>
      <c r="M10" s="48" t="s">
        <v>41</v>
      </c>
      <c r="N10" s="46"/>
      <c r="O10" s="46"/>
      <c r="P10" s="49" t="str">
        <f ca="1">INDIRECT("d"&amp;Q5)</f>
        <v>100 Peachtree Street</v>
      </c>
      <c r="Q10" s="50"/>
      <c r="R10" s="50"/>
      <c r="S10" s="50"/>
      <c r="T10" s="50"/>
      <c r="U10" s="51"/>
      <c r="V10" s="46"/>
      <c r="W10" s="52" t="s">
        <v>44</v>
      </c>
      <c r="X10" s="46"/>
      <c r="Y10" s="77">
        <f ca="1">INDIRECT("g"&amp;Q5)</f>
        <v>30092</v>
      </c>
      <c r="Z10" s="50"/>
      <c r="AA10" s="50"/>
      <c r="AB10" s="50"/>
      <c r="AC10" s="50"/>
      <c r="AD10" s="51"/>
      <c r="AE10" s="47"/>
      <c r="AF10" s="23"/>
      <c r="AG10" s="23"/>
    </row>
    <row r="11" spans="1:33" x14ac:dyDescent="0.25">
      <c r="A11" s="32">
        <v>8</v>
      </c>
      <c r="B11" s="39"/>
      <c r="C11" s="39"/>
      <c r="D11" s="39"/>
      <c r="E11" s="39"/>
      <c r="F11" s="39"/>
      <c r="G11" s="39"/>
      <c r="H11" s="39"/>
      <c r="I11" s="40"/>
      <c r="J11" s="39"/>
      <c r="K11" s="23"/>
      <c r="L11" s="45"/>
      <c r="M11" s="46"/>
      <c r="N11" s="46"/>
      <c r="O11" s="46"/>
      <c r="P11" s="46"/>
      <c r="Q11" s="46"/>
      <c r="R11" s="46"/>
      <c r="S11" s="46"/>
      <c r="T11" s="46"/>
      <c r="U11" s="46"/>
      <c r="V11" s="46"/>
      <c r="W11" s="46"/>
      <c r="X11" s="46"/>
      <c r="Y11" s="46"/>
      <c r="Z11" s="46"/>
      <c r="AA11" s="46"/>
      <c r="AB11" s="46"/>
      <c r="AC11" s="46"/>
      <c r="AD11" s="46"/>
      <c r="AE11" s="47"/>
      <c r="AF11" s="23"/>
      <c r="AG11" s="23"/>
    </row>
    <row r="12" spans="1:33" x14ac:dyDescent="0.25">
      <c r="A12" s="32">
        <v>9</v>
      </c>
      <c r="B12" s="39"/>
      <c r="C12" s="39"/>
      <c r="D12" s="39"/>
      <c r="E12" s="39"/>
      <c r="F12" s="39"/>
      <c r="G12" s="39"/>
      <c r="H12" s="39"/>
      <c r="I12" s="40"/>
      <c r="J12" s="39"/>
      <c r="K12" s="23"/>
      <c r="L12" s="45"/>
      <c r="M12" s="52" t="s">
        <v>45</v>
      </c>
      <c r="N12" s="46"/>
      <c r="O12" s="46"/>
      <c r="P12" s="49" t="str">
        <f ca="1">INDIRECT("h"&amp;Q5)</f>
        <v>770.842.5902</v>
      </c>
      <c r="Q12" s="50"/>
      <c r="R12" s="50"/>
      <c r="S12" s="50"/>
      <c r="T12" s="50"/>
      <c r="U12" s="51"/>
      <c r="V12" s="46"/>
      <c r="W12" s="60" t="s">
        <v>99</v>
      </c>
      <c r="X12" s="46"/>
      <c r="Y12" s="49" t="str">
        <f ca="1">INDIRECT("i"&amp;Q5)</f>
        <v>Plan A</v>
      </c>
      <c r="Z12" s="50"/>
      <c r="AA12" s="50"/>
      <c r="AB12" s="50"/>
      <c r="AC12" s="50"/>
      <c r="AD12" s="51"/>
      <c r="AE12" s="47"/>
      <c r="AF12" s="23"/>
      <c r="AG12" s="23"/>
    </row>
    <row r="13" spans="1:33" x14ac:dyDescent="0.25">
      <c r="A13" s="32">
        <v>10</v>
      </c>
      <c r="B13" s="39"/>
      <c r="C13" s="39"/>
      <c r="D13" s="39"/>
      <c r="E13" s="39"/>
      <c r="F13" s="39"/>
      <c r="G13" s="39"/>
      <c r="H13" s="39"/>
      <c r="I13" s="40"/>
      <c r="J13" s="39"/>
      <c r="K13" s="23"/>
      <c r="L13" s="45"/>
      <c r="M13" s="46"/>
      <c r="N13" s="46"/>
      <c r="O13" s="46"/>
      <c r="P13" s="46"/>
      <c r="Q13" s="46"/>
      <c r="R13" s="46"/>
      <c r="S13" s="46"/>
      <c r="T13" s="46"/>
      <c r="U13" s="46"/>
      <c r="V13" s="46"/>
      <c r="W13" s="46"/>
      <c r="X13" s="46"/>
      <c r="Y13" s="46"/>
      <c r="Z13" s="46"/>
      <c r="AA13" s="46"/>
      <c r="AB13" s="46"/>
      <c r="AC13" s="46"/>
      <c r="AD13" s="46"/>
      <c r="AE13" s="47"/>
      <c r="AF13" s="23"/>
      <c r="AG13" s="23"/>
    </row>
    <row r="14" spans="1:33" x14ac:dyDescent="0.25">
      <c r="A14" s="32">
        <v>11</v>
      </c>
      <c r="B14" s="39"/>
      <c r="C14" s="39"/>
      <c r="D14" s="39"/>
      <c r="E14" s="39"/>
      <c r="F14" s="39"/>
      <c r="G14" s="39"/>
      <c r="H14" s="39"/>
      <c r="I14" s="40"/>
      <c r="J14" s="39"/>
      <c r="K14" s="23"/>
      <c r="L14" s="45"/>
      <c r="M14" s="52" t="s">
        <v>90</v>
      </c>
      <c r="N14" s="46"/>
      <c r="O14" s="46"/>
      <c r="P14" s="46"/>
      <c r="Q14" s="46"/>
      <c r="R14" s="46"/>
      <c r="S14" s="46"/>
      <c r="T14" s="46"/>
      <c r="U14" s="46"/>
      <c r="V14" s="46"/>
      <c r="W14" s="46"/>
      <c r="X14" s="46"/>
      <c r="Y14" s="169">
        <f ca="1">INDIRECT("j"&amp;Q5)</f>
        <v>124533.45</v>
      </c>
      <c r="Z14" s="50"/>
      <c r="AA14" s="50"/>
      <c r="AB14" s="50"/>
      <c r="AC14" s="50"/>
      <c r="AD14" s="51"/>
      <c r="AE14" s="47"/>
      <c r="AF14" s="23"/>
      <c r="AG14" s="23"/>
    </row>
    <row r="15" spans="1:33" x14ac:dyDescent="0.25">
      <c r="A15" s="32">
        <v>12</v>
      </c>
      <c r="B15" s="39"/>
      <c r="C15" s="39"/>
      <c r="D15" s="39"/>
      <c r="E15" s="39"/>
      <c r="F15" s="39"/>
      <c r="G15" s="39"/>
      <c r="H15" s="39"/>
      <c r="I15" s="40"/>
      <c r="J15" s="39"/>
      <c r="K15" s="23"/>
      <c r="L15" s="45"/>
      <c r="M15" s="46"/>
      <c r="N15" s="46"/>
      <c r="O15" s="46"/>
      <c r="P15" s="46"/>
      <c r="Q15" s="46"/>
      <c r="R15" s="46"/>
      <c r="S15" s="46"/>
      <c r="T15" s="46"/>
      <c r="U15" s="46"/>
      <c r="V15" s="46"/>
      <c r="W15" s="46"/>
      <c r="X15" s="46"/>
      <c r="Y15" s="46"/>
      <c r="Z15" s="46"/>
      <c r="AA15" s="46"/>
      <c r="AB15" s="46"/>
      <c r="AC15" s="46"/>
      <c r="AD15" s="46"/>
      <c r="AE15" s="47"/>
      <c r="AF15" s="23"/>
      <c r="AG15" s="23"/>
    </row>
    <row r="16" spans="1:33" x14ac:dyDescent="0.25">
      <c r="A16" s="32">
        <v>13</v>
      </c>
      <c r="B16" s="39"/>
      <c r="C16" s="39"/>
      <c r="D16" s="39"/>
      <c r="E16" s="39"/>
      <c r="F16" s="39"/>
      <c r="G16" s="39"/>
      <c r="H16" s="39"/>
      <c r="I16" s="40"/>
      <c r="J16" s="39"/>
      <c r="K16" s="23"/>
      <c r="L16" s="303" t="s">
        <v>91</v>
      </c>
      <c r="M16" s="304"/>
      <c r="N16" s="304"/>
      <c r="O16" s="304"/>
      <c r="P16" s="304"/>
      <c r="Q16" s="304"/>
      <c r="R16" s="304"/>
      <c r="S16" s="304"/>
      <c r="T16" s="304"/>
      <c r="U16" s="304"/>
      <c r="V16" s="304"/>
      <c r="W16" s="304"/>
      <c r="X16" s="304"/>
      <c r="Y16" s="304"/>
      <c r="Z16" s="304"/>
      <c r="AA16" s="304"/>
      <c r="AB16" s="304"/>
      <c r="AC16" s="304"/>
      <c r="AD16" s="304"/>
      <c r="AE16" s="305"/>
      <c r="AF16" s="23"/>
      <c r="AG16" s="23"/>
    </row>
    <row r="17" spans="1:33" ht="16.5" thickBot="1" x14ac:dyDescent="0.3">
      <c r="A17" s="32">
        <v>14</v>
      </c>
      <c r="B17" s="39"/>
      <c r="C17" s="39"/>
      <c r="D17" s="39"/>
      <c r="E17" s="39"/>
      <c r="F17" s="39"/>
      <c r="G17" s="39"/>
      <c r="H17" s="39"/>
      <c r="I17" s="40"/>
      <c r="J17" s="39"/>
      <c r="K17" s="23"/>
      <c r="L17" s="61"/>
      <c r="M17" s="62"/>
      <c r="N17" s="62"/>
      <c r="O17" s="62"/>
      <c r="P17" s="62"/>
      <c r="Q17" s="62"/>
      <c r="R17" s="62"/>
      <c r="S17" s="62"/>
      <c r="T17" s="62"/>
      <c r="U17" s="62"/>
      <c r="V17" s="62"/>
      <c r="W17" s="62"/>
      <c r="X17" s="62"/>
      <c r="Y17" s="62"/>
      <c r="Z17" s="62"/>
      <c r="AA17" s="62"/>
      <c r="AB17" s="62"/>
      <c r="AC17" s="62"/>
      <c r="AD17" s="62"/>
      <c r="AE17" s="63"/>
      <c r="AF17" s="23"/>
      <c r="AG17" s="23"/>
    </row>
    <row r="18" spans="1:33" x14ac:dyDescent="0.25">
      <c r="A18" s="32">
        <v>15</v>
      </c>
      <c r="B18" s="39"/>
      <c r="C18" s="39"/>
      <c r="D18" s="39"/>
      <c r="E18" s="39"/>
      <c r="F18" s="39"/>
      <c r="G18" s="39"/>
      <c r="H18" s="39"/>
      <c r="I18" s="40"/>
      <c r="J18" s="39"/>
      <c r="K18" s="23"/>
      <c r="L18" s="23"/>
      <c r="M18" s="23"/>
      <c r="N18" s="23"/>
      <c r="O18" s="23"/>
      <c r="P18" s="23"/>
      <c r="Q18" s="23"/>
      <c r="R18" s="23"/>
      <c r="S18" s="23"/>
      <c r="T18" s="23"/>
      <c r="U18" s="23"/>
      <c r="V18" s="23"/>
      <c r="W18" s="23"/>
      <c r="X18" s="23"/>
      <c r="Y18" s="23"/>
      <c r="Z18" s="23"/>
      <c r="AA18" s="23"/>
      <c r="AB18" s="23"/>
      <c r="AC18" s="23"/>
      <c r="AD18" s="23"/>
      <c r="AE18" s="23"/>
      <c r="AF18" s="23"/>
      <c r="AG18" s="23"/>
    </row>
    <row r="19" spans="1:33" x14ac:dyDescent="0.25">
      <c r="A19" s="32">
        <v>16</v>
      </c>
      <c r="B19" s="39"/>
      <c r="C19" s="39"/>
      <c r="D19" s="39"/>
      <c r="E19" s="39"/>
      <c r="F19" s="39"/>
      <c r="G19" s="39"/>
      <c r="H19" s="39"/>
      <c r="I19" s="40"/>
      <c r="J19" s="39"/>
      <c r="K19" s="23"/>
      <c r="L19" s="23"/>
      <c r="M19" s="23"/>
      <c r="N19" s="23"/>
      <c r="O19" s="23"/>
      <c r="P19" s="23"/>
      <c r="Q19" s="23"/>
      <c r="R19" s="23"/>
      <c r="S19" s="23"/>
      <c r="T19" s="23"/>
      <c r="U19" s="23"/>
      <c r="V19" s="23"/>
      <c r="W19" s="23"/>
      <c r="X19" s="23"/>
      <c r="Y19" s="23"/>
      <c r="Z19" s="23"/>
      <c r="AA19" s="23"/>
      <c r="AB19" s="23"/>
      <c r="AC19" s="23"/>
      <c r="AD19" s="23"/>
      <c r="AE19" s="23"/>
      <c r="AF19" s="23"/>
      <c r="AG19" s="23"/>
    </row>
    <row r="20" spans="1:33" x14ac:dyDescent="0.25">
      <c r="A20" s="32">
        <v>17</v>
      </c>
      <c r="B20" s="39"/>
      <c r="C20" s="39"/>
      <c r="D20" s="39"/>
      <c r="E20" s="39"/>
      <c r="F20" s="39"/>
      <c r="G20" s="39"/>
      <c r="H20" s="39"/>
      <c r="I20" s="40"/>
      <c r="J20" s="39"/>
      <c r="K20" s="23"/>
      <c r="L20" s="23"/>
      <c r="M20" s="23"/>
      <c r="N20" s="23"/>
      <c r="O20" s="23"/>
      <c r="P20" s="23"/>
      <c r="Q20" s="23"/>
      <c r="R20" s="23"/>
      <c r="S20" s="23"/>
      <c r="T20" s="23"/>
      <c r="U20" s="23"/>
      <c r="V20" s="23"/>
      <c r="W20" s="23"/>
      <c r="X20" s="23"/>
      <c r="Y20" s="23"/>
      <c r="Z20" s="23"/>
      <c r="AA20" s="23"/>
      <c r="AB20" s="23"/>
      <c r="AC20" s="23"/>
      <c r="AD20" s="23"/>
      <c r="AE20" s="23"/>
      <c r="AF20" s="23"/>
      <c r="AG20" s="23"/>
    </row>
    <row r="21" spans="1:33" x14ac:dyDescent="0.25">
      <c r="A21" s="32">
        <v>18</v>
      </c>
      <c r="B21" s="39"/>
      <c r="C21" s="39"/>
      <c r="D21" s="39"/>
      <c r="E21" s="39"/>
      <c r="F21" s="39"/>
      <c r="G21" s="39"/>
      <c r="H21" s="39"/>
      <c r="I21" s="40"/>
      <c r="J21" s="39"/>
      <c r="K21" s="23"/>
      <c r="L21" s="23"/>
      <c r="M21" s="23"/>
      <c r="N21" s="23"/>
      <c r="O21" s="23"/>
      <c r="P21" s="23"/>
      <c r="Q21" s="23"/>
      <c r="R21" s="23"/>
      <c r="S21" s="23"/>
      <c r="T21" s="23"/>
      <c r="U21" s="23"/>
      <c r="V21" s="23"/>
      <c r="W21" s="23"/>
      <c r="X21" s="23"/>
      <c r="Y21" s="23"/>
      <c r="Z21" s="23"/>
      <c r="AA21" s="23"/>
      <c r="AB21" s="23"/>
      <c r="AC21" s="23"/>
      <c r="AD21" s="23"/>
      <c r="AE21" s="23"/>
      <c r="AF21" s="23"/>
      <c r="AG21" s="23"/>
    </row>
    <row r="22" spans="1:33" x14ac:dyDescent="0.25">
      <c r="A22" s="32">
        <v>19</v>
      </c>
      <c r="B22" s="39"/>
      <c r="C22" s="39"/>
      <c r="D22" s="39"/>
      <c r="E22" s="39"/>
      <c r="F22" s="39"/>
      <c r="G22" s="39"/>
      <c r="H22" s="39"/>
      <c r="I22" s="40"/>
      <c r="J22" s="39"/>
      <c r="K22" s="23"/>
      <c r="L22" s="23"/>
      <c r="M22" s="23"/>
      <c r="N22" s="23"/>
      <c r="O22" s="23"/>
      <c r="P22" s="23"/>
      <c r="Q22" s="23"/>
      <c r="R22" s="23"/>
      <c r="S22" s="23"/>
      <c r="T22" s="23"/>
      <c r="U22" s="23"/>
      <c r="V22" s="23"/>
      <c r="W22" s="23"/>
      <c r="X22" s="23"/>
      <c r="Y22" s="23"/>
      <c r="Z22" s="23"/>
      <c r="AA22" s="23"/>
      <c r="AB22" s="23"/>
      <c r="AC22" s="23"/>
      <c r="AD22" s="23"/>
      <c r="AE22" s="23"/>
      <c r="AF22" s="23"/>
      <c r="AG22" s="23"/>
    </row>
    <row r="23" spans="1:33" x14ac:dyDescent="0.25">
      <c r="A23" s="32">
        <v>20</v>
      </c>
      <c r="B23" s="39"/>
      <c r="C23" s="39"/>
      <c r="D23" s="39"/>
      <c r="E23" s="39"/>
      <c r="F23" s="39"/>
      <c r="G23" s="39"/>
      <c r="H23" s="39"/>
      <c r="I23" s="40"/>
      <c r="J23" s="39"/>
      <c r="K23" s="23"/>
      <c r="L23" s="23"/>
      <c r="M23" s="23"/>
      <c r="N23" s="23"/>
      <c r="O23" s="23"/>
      <c r="P23" s="23"/>
      <c r="Q23" s="23"/>
      <c r="R23" s="23"/>
      <c r="S23" s="23"/>
      <c r="T23" s="23"/>
      <c r="U23" s="23"/>
      <c r="V23" s="23"/>
      <c r="W23" s="23"/>
      <c r="X23" s="23"/>
      <c r="Y23" s="23"/>
      <c r="Z23" s="23"/>
      <c r="AA23" s="23"/>
      <c r="AB23" s="23"/>
      <c r="AC23" s="23"/>
      <c r="AD23" s="23"/>
      <c r="AE23" s="23"/>
      <c r="AF23" s="23"/>
      <c r="AG23" s="23"/>
    </row>
    <row r="24" spans="1:33" x14ac:dyDescent="0.25">
      <c r="A24" s="32">
        <v>21</v>
      </c>
      <c r="B24" s="39"/>
      <c r="C24" s="39"/>
      <c r="D24" s="39"/>
      <c r="E24" s="39"/>
      <c r="F24" s="39"/>
      <c r="G24" s="39"/>
      <c r="H24" s="39"/>
      <c r="I24" s="40"/>
      <c r="J24" s="39"/>
      <c r="K24" s="23"/>
      <c r="L24" s="23"/>
      <c r="M24" s="23"/>
      <c r="N24" s="23"/>
      <c r="O24" s="23"/>
      <c r="P24" s="23"/>
      <c r="Q24" s="23"/>
      <c r="R24" s="23"/>
      <c r="S24" s="23"/>
      <c r="T24" s="23"/>
      <c r="U24" s="23"/>
      <c r="V24" s="23"/>
      <c r="W24" s="23"/>
      <c r="X24" s="23"/>
      <c r="Y24" s="23"/>
      <c r="Z24" s="23"/>
      <c r="AA24" s="23"/>
      <c r="AB24" s="23"/>
      <c r="AC24" s="23"/>
      <c r="AD24" s="23"/>
      <c r="AE24" s="23"/>
      <c r="AF24" s="23"/>
      <c r="AG24" s="23"/>
    </row>
    <row r="25" spans="1:33" x14ac:dyDescent="0.25">
      <c r="A25" s="32">
        <v>22</v>
      </c>
      <c r="B25" s="39"/>
      <c r="C25" s="39"/>
      <c r="D25" s="39"/>
      <c r="E25" s="39"/>
      <c r="F25" s="39"/>
      <c r="G25" s="39"/>
      <c r="H25" s="39"/>
      <c r="I25" s="40"/>
      <c r="J25" s="39"/>
      <c r="K25" s="23"/>
      <c r="L25" s="23"/>
      <c r="M25" s="23"/>
      <c r="N25" s="23"/>
      <c r="O25" s="23"/>
      <c r="P25" s="23"/>
      <c r="Q25" s="23"/>
      <c r="R25" s="23"/>
      <c r="S25" s="23"/>
      <c r="T25" s="23"/>
      <c r="U25" s="23"/>
      <c r="V25" s="23"/>
      <c r="W25" s="23"/>
      <c r="X25" s="23"/>
      <c r="Y25" s="23"/>
      <c r="Z25" s="23"/>
      <c r="AA25" s="23"/>
      <c r="AB25" s="23"/>
      <c r="AC25" s="23"/>
      <c r="AD25" s="23"/>
      <c r="AE25" s="23"/>
      <c r="AF25" s="23"/>
      <c r="AG25" s="23"/>
    </row>
    <row r="26" spans="1:33" x14ac:dyDescent="0.25">
      <c r="A26" s="32">
        <v>23</v>
      </c>
      <c r="B26" s="39"/>
      <c r="C26" s="39"/>
      <c r="D26" s="39"/>
      <c r="E26" s="39"/>
      <c r="F26" s="39"/>
      <c r="G26" s="39"/>
      <c r="H26" s="39"/>
      <c r="I26" s="40"/>
      <c r="J26" s="39"/>
      <c r="K26" s="23"/>
      <c r="L26" s="23"/>
      <c r="M26" s="23"/>
      <c r="N26" s="23"/>
      <c r="O26" s="23"/>
      <c r="P26" s="23"/>
      <c r="Q26" s="23"/>
      <c r="R26" s="23"/>
      <c r="S26" s="23"/>
      <c r="T26" s="23"/>
      <c r="U26" s="23"/>
      <c r="V26" s="23"/>
      <c r="W26" s="23"/>
      <c r="X26" s="23"/>
      <c r="Y26" s="23"/>
      <c r="Z26" s="23"/>
      <c r="AA26" s="23"/>
      <c r="AB26" s="23"/>
      <c r="AC26" s="23"/>
      <c r="AD26" s="23"/>
      <c r="AE26" s="23"/>
      <c r="AF26" s="23"/>
      <c r="AG26" s="23"/>
    </row>
    <row r="27" spans="1:33" x14ac:dyDescent="0.25">
      <c r="A27" s="32">
        <v>24</v>
      </c>
      <c r="B27" s="39"/>
      <c r="C27" s="39"/>
      <c r="D27" s="39"/>
      <c r="E27" s="39"/>
      <c r="F27" s="39"/>
      <c r="G27" s="39"/>
      <c r="H27" s="39"/>
      <c r="I27" s="40"/>
      <c r="J27" s="39"/>
      <c r="K27" s="23"/>
      <c r="L27" s="23"/>
      <c r="M27" s="23"/>
      <c r="N27" s="23"/>
      <c r="O27" s="23"/>
      <c r="P27" s="23"/>
      <c r="Q27" s="23"/>
      <c r="R27" s="23"/>
      <c r="S27" s="23"/>
      <c r="T27" s="23"/>
      <c r="U27" s="23"/>
      <c r="V27" s="23"/>
      <c r="W27" s="23"/>
      <c r="X27" s="23"/>
      <c r="Y27" s="23"/>
      <c r="Z27" s="23"/>
      <c r="AA27" s="23"/>
      <c r="AB27" s="23"/>
      <c r="AC27" s="23"/>
      <c r="AD27" s="23"/>
      <c r="AE27" s="23"/>
      <c r="AF27" s="23"/>
      <c r="AG27" s="23"/>
    </row>
    <row r="28" spans="1:33" x14ac:dyDescent="0.25">
      <c r="A28" s="32">
        <v>25</v>
      </c>
      <c r="B28" s="39"/>
      <c r="C28" s="39"/>
      <c r="D28" s="39"/>
      <c r="E28" s="39"/>
      <c r="F28" s="39"/>
      <c r="G28" s="39"/>
      <c r="H28" s="39"/>
      <c r="I28" s="40"/>
      <c r="J28" s="39"/>
      <c r="K28" s="23"/>
      <c r="L28" s="23"/>
      <c r="M28" s="23"/>
      <c r="N28" s="23"/>
      <c r="O28" s="23"/>
      <c r="P28" s="23"/>
      <c r="Q28" s="23"/>
      <c r="R28" s="23"/>
      <c r="S28" s="23"/>
      <c r="T28" s="23"/>
      <c r="U28" s="23"/>
      <c r="V28" s="23"/>
      <c r="W28" s="23"/>
      <c r="X28" s="23"/>
      <c r="Y28" s="23"/>
      <c r="Z28" s="23"/>
      <c r="AA28" s="23"/>
      <c r="AB28" s="23"/>
      <c r="AC28" s="23"/>
      <c r="AD28" s="23"/>
      <c r="AE28" s="23"/>
      <c r="AF28" s="23"/>
      <c r="AG28" s="23"/>
    </row>
    <row r="29" spans="1:33" x14ac:dyDescent="0.25">
      <c r="A29" s="32">
        <v>26</v>
      </c>
      <c r="B29" s="39"/>
      <c r="C29" s="39"/>
      <c r="D29" s="39"/>
      <c r="E29" s="39"/>
      <c r="F29" s="39"/>
      <c r="G29" s="39"/>
      <c r="H29" s="39"/>
      <c r="I29" s="40"/>
      <c r="J29" s="39"/>
      <c r="K29" s="23"/>
      <c r="L29" s="23"/>
      <c r="M29" s="23"/>
      <c r="N29" s="23"/>
      <c r="O29" s="23"/>
      <c r="P29" s="23"/>
      <c r="Q29" s="23"/>
      <c r="R29" s="23"/>
      <c r="S29" s="23"/>
      <c r="T29" s="23"/>
      <c r="U29" s="23"/>
      <c r="V29" s="23"/>
      <c r="W29" s="23"/>
      <c r="X29" s="23"/>
      <c r="Y29" s="23"/>
      <c r="Z29" s="23"/>
      <c r="AA29" s="23"/>
      <c r="AB29" s="23"/>
      <c r="AC29" s="23"/>
      <c r="AD29" s="23"/>
      <c r="AE29" s="23"/>
      <c r="AF29" s="23"/>
      <c r="AG29" s="23"/>
    </row>
  </sheetData>
  <mergeCells count="2">
    <mergeCell ref="L4:AE4"/>
    <mergeCell ref="L16:AE16"/>
  </mergeCells>
  <pageMargins left="0.7" right="0.7" top="0.75" bottom="0.75" header="0.3" footer="0.3"/>
  <drawing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AG28"/>
  <sheetViews>
    <sheetView showGridLines="0" workbookViewId="0">
      <selection activeCell="Q1" sqref="Q1"/>
    </sheetView>
  </sheetViews>
  <sheetFormatPr defaultRowHeight="15.75" x14ac:dyDescent="0.25"/>
  <cols>
    <col min="1" max="1" width="7.875" bestFit="1" customWidth="1"/>
    <col min="2" max="3" width="10" bestFit="1" customWidth="1"/>
    <col min="4" max="4" width="19" bestFit="1" customWidth="1"/>
    <col min="5" max="5" width="8.375" bestFit="1" customWidth="1"/>
    <col min="6" max="6" width="5.375" bestFit="1" customWidth="1"/>
    <col min="7" max="7" width="5.875" bestFit="1" customWidth="1"/>
    <col min="8" max="8" width="11.875" bestFit="1" customWidth="1"/>
    <col min="9" max="9" width="11.875" customWidth="1"/>
    <col min="10" max="10" width="12.125" bestFit="1" customWidth="1"/>
    <col min="11" max="11" width="3.75" customWidth="1"/>
    <col min="12" max="31" width="3.625" customWidth="1"/>
    <col min="32" max="32" width="3" customWidth="1"/>
  </cols>
  <sheetData>
    <row r="1" spans="1:33" x14ac:dyDescent="0.25">
      <c r="A1" s="16"/>
      <c r="B1" s="16"/>
      <c r="C1" s="16"/>
      <c r="D1" s="16"/>
      <c r="E1" s="16"/>
      <c r="F1" s="16"/>
      <c r="G1" s="16"/>
      <c r="H1" s="16"/>
      <c r="I1" s="16"/>
      <c r="J1" s="16"/>
      <c r="K1" s="170"/>
      <c r="L1" s="16"/>
      <c r="M1" s="16"/>
      <c r="N1" s="16"/>
      <c r="O1" s="16"/>
      <c r="P1" s="16"/>
      <c r="Q1" s="16"/>
      <c r="R1" s="16"/>
      <c r="S1" s="17">
        <f t="shared" ref="S1:AB1" si="0">VLOOKUP(MAX($A$3:$A$147),$A$3:$H$147,2)</f>
        <v>0</v>
      </c>
      <c r="T1" s="17">
        <f t="shared" si="0"/>
        <v>0</v>
      </c>
      <c r="U1" s="17">
        <f t="shared" si="0"/>
        <v>0</v>
      </c>
      <c r="V1" s="17">
        <f t="shared" si="0"/>
        <v>0</v>
      </c>
      <c r="W1" s="17">
        <f t="shared" si="0"/>
        <v>0</v>
      </c>
      <c r="X1" s="17">
        <f t="shared" si="0"/>
        <v>0</v>
      </c>
      <c r="Y1" s="17">
        <f t="shared" si="0"/>
        <v>0</v>
      </c>
      <c r="Z1" s="17">
        <f t="shared" si="0"/>
        <v>0</v>
      </c>
      <c r="AA1" s="17">
        <f t="shared" si="0"/>
        <v>0</v>
      </c>
      <c r="AB1" s="17">
        <f t="shared" si="0"/>
        <v>0</v>
      </c>
      <c r="AC1" s="18"/>
      <c r="AD1" s="18"/>
      <c r="AE1" s="18"/>
      <c r="AF1" s="18"/>
      <c r="AG1" s="18"/>
    </row>
    <row r="2" spans="1:33" ht="16.5" thickBot="1" x14ac:dyDescent="0.3">
      <c r="A2" s="73"/>
      <c r="B2" s="20"/>
      <c r="C2" s="20"/>
      <c r="D2" s="20"/>
      <c r="E2" s="20"/>
      <c r="F2" s="20"/>
      <c r="G2" s="20"/>
      <c r="H2" s="20"/>
      <c r="I2" s="22"/>
      <c r="J2" s="20"/>
      <c r="K2" s="171"/>
      <c r="L2" s="23"/>
      <c r="M2" s="23"/>
      <c r="N2" s="23"/>
      <c r="O2" s="23"/>
      <c r="P2" s="23"/>
      <c r="Q2" s="23"/>
      <c r="R2" s="23"/>
      <c r="S2" s="23"/>
      <c r="T2" s="23"/>
      <c r="U2" s="23"/>
      <c r="V2" s="23"/>
      <c r="W2" s="23"/>
      <c r="X2" s="23"/>
      <c r="Y2" s="23"/>
      <c r="Z2" s="23"/>
      <c r="AA2" s="23"/>
      <c r="AB2" s="23"/>
      <c r="AC2" s="23"/>
      <c r="AD2" s="23"/>
      <c r="AE2" s="23"/>
      <c r="AF2" s="23"/>
      <c r="AG2" s="23"/>
    </row>
    <row r="3" spans="1:33" x14ac:dyDescent="0.25">
      <c r="A3" s="68" t="s">
        <v>38</v>
      </c>
      <c r="B3" s="69" t="s">
        <v>39</v>
      </c>
      <c r="C3" s="69" t="s">
        <v>40</v>
      </c>
      <c r="D3" s="69" t="s">
        <v>41</v>
      </c>
      <c r="E3" s="68" t="s">
        <v>42</v>
      </c>
      <c r="F3" s="68" t="s">
        <v>43</v>
      </c>
      <c r="G3" s="68" t="s">
        <v>44</v>
      </c>
      <c r="H3" s="68" t="s">
        <v>45</v>
      </c>
      <c r="I3" s="68" t="s">
        <v>46</v>
      </c>
      <c r="J3" s="68" t="s">
        <v>47</v>
      </c>
      <c r="K3" s="171"/>
      <c r="L3" s="29"/>
      <c r="M3" s="30"/>
      <c r="N3" s="30"/>
      <c r="O3" s="30"/>
      <c r="P3" s="30"/>
      <c r="Q3" s="30"/>
      <c r="R3" s="30"/>
      <c r="S3" s="30"/>
      <c r="T3" s="30"/>
      <c r="U3" s="30"/>
      <c r="V3" s="30"/>
      <c r="W3" s="30"/>
      <c r="X3" s="30"/>
      <c r="Y3" s="30"/>
      <c r="Z3" s="30"/>
      <c r="AA3" s="30"/>
      <c r="AB3" s="30"/>
      <c r="AC3" s="30"/>
      <c r="AD3" s="30"/>
      <c r="AE3" s="31"/>
      <c r="AF3" s="23"/>
      <c r="AG3" s="23"/>
    </row>
    <row r="4" spans="1:33" x14ac:dyDescent="0.25">
      <c r="A4" s="32">
        <v>1</v>
      </c>
      <c r="B4" s="33" t="s">
        <v>48</v>
      </c>
      <c r="C4" s="34" t="s">
        <v>49</v>
      </c>
      <c r="D4" s="34" t="s">
        <v>50</v>
      </c>
      <c r="E4" s="34" t="s">
        <v>51</v>
      </c>
      <c r="F4" s="35" t="s">
        <v>52</v>
      </c>
      <c r="G4" s="172">
        <v>30062</v>
      </c>
      <c r="H4" s="33" t="s">
        <v>53</v>
      </c>
      <c r="I4" s="37" t="s">
        <v>54</v>
      </c>
      <c r="J4" s="70">
        <v>157665</v>
      </c>
      <c r="K4" s="171">
        <f>+IF(COUNTA(B4:J4)=9,1,0)</f>
        <v>1</v>
      </c>
      <c r="L4" s="300" t="s">
        <v>55</v>
      </c>
      <c r="M4" s="301"/>
      <c r="N4" s="301"/>
      <c r="O4" s="301"/>
      <c r="P4" s="301"/>
      <c r="Q4" s="301"/>
      <c r="R4" s="301"/>
      <c r="S4" s="301"/>
      <c r="T4" s="301"/>
      <c r="U4" s="301"/>
      <c r="V4" s="301"/>
      <c r="W4" s="301"/>
      <c r="X4" s="301"/>
      <c r="Y4" s="301"/>
      <c r="Z4" s="301"/>
      <c r="AA4" s="301"/>
      <c r="AB4" s="301"/>
      <c r="AC4" s="301"/>
      <c r="AD4" s="301"/>
      <c r="AE4" s="302"/>
      <c r="AF4" s="23"/>
      <c r="AG4" s="23"/>
    </row>
    <row r="5" spans="1:33" x14ac:dyDescent="0.25">
      <c r="A5" s="32">
        <v>2</v>
      </c>
      <c r="B5" s="39" t="s">
        <v>56</v>
      </c>
      <c r="C5" s="39" t="s">
        <v>57</v>
      </c>
      <c r="D5" s="39" t="s">
        <v>58</v>
      </c>
      <c r="E5" s="39" t="s">
        <v>51</v>
      </c>
      <c r="F5" s="40" t="s">
        <v>52</v>
      </c>
      <c r="G5" s="172">
        <v>30063</v>
      </c>
      <c r="H5" s="42" t="s">
        <v>59</v>
      </c>
      <c r="I5" s="43" t="s">
        <v>60</v>
      </c>
      <c r="J5" s="71">
        <v>156340</v>
      </c>
      <c r="K5" s="171">
        <f t="shared" ref="K5:K28" si="1">+IF(COUNTA(B5:J5)=9,1,0)</f>
        <v>1</v>
      </c>
      <c r="L5" s="45"/>
      <c r="M5" s="46"/>
      <c r="N5" s="46"/>
      <c r="O5" s="46"/>
      <c r="P5" s="46"/>
      <c r="Q5" s="46"/>
      <c r="R5" s="46"/>
      <c r="S5" s="46"/>
      <c r="T5" s="46"/>
      <c r="U5" s="46"/>
      <c r="V5" s="46"/>
      <c r="W5" s="46"/>
      <c r="X5" s="46"/>
      <c r="Y5" s="46"/>
      <c r="Z5" s="46"/>
      <c r="AA5" s="46"/>
      <c r="AB5" s="46"/>
      <c r="AC5" s="46"/>
      <c r="AD5" s="46"/>
      <c r="AE5" s="47"/>
      <c r="AF5" s="23"/>
      <c r="AG5" s="23"/>
    </row>
    <row r="6" spans="1:33" x14ac:dyDescent="0.25">
      <c r="A6" s="32">
        <v>3</v>
      </c>
      <c r="B6" s="39" t="s">
        <v>61</v>
      </c>
      <c r="C6" s="42" t="s">
        <v>62</v>
      </c>
      <c r="D6" s="39" t="s">
        <v>63</v>
      </c>
      <c r="E6" s="39" t="s">
        <v>51</v>
      </c>
      <c r="F6" s="40" t="s">
        <v>52</v>
      </c>
      <c r="G6" s="172">
        <v>30064</v>
      </c>
      <c r="H6" s="42" t="s">
        <v>64</v>
      </c>
      <c r="I6" s="43" t="s">
        <v>65</v>
      </c>
      <c r="J6" s="71">
        <v>81480</v>
      </c>
      <c r="K6" s="171">
        <f t="shared" si="1"/>
        <v>1</v>
      </c>
      <c r="L6" s="45"/>
      <c r="M6" s="48" t="s">
        <v>39</v>
      </c>
      <c r="N6" s="46"/>
      <c r="O6" s="46"/>
      <c r="P6" s="49" t="str">
        <f ca="1">+OFFSET(B4,MATCH(0,K:K,0)-5,0)</f>
        <v>Baggins</v>
      </c>
      <c r="Q6" s="50"/>
      <c r="R6" s="50"/>
      <c r="S6" s="50"/>
      <c r="T6" s="50"/>
      <c r="U6" s="51"/>
      <c r="V6" s="46"/>
      <c r="W6" s="52" t="s">
        <v>42</v>
      </c>
      <c r="X6" s="46"/>
      <c r="Y6" s="49" t="str">
        <f ca="1">+OFFSET(B4,MATCH(0,K:K,0)-5,3)</f>
        <v>Hobbiton</v>
      </c>
      <c r="Z6" s="50"/>
      <c r="AA6" s="50"/>
      <c r="AB6" s="50"/>
      <c r="AC6" s="50"/>
      <c r="AD6" s="51"/>
      <c r="AE6" s="47"/>
      <c r="AF6" s="23"/>
      <c r="AG6" s="23"/>
    </row>
    <row r="7" spans="1:33" x14ac:dyDescent="0.25">
      <c r="A7" s="32">
        <v>4</v>
      </c>
      <c r="B7" s="39" t="s">
        <v>66</v>
      </c>
      <c r="C7" s="42" t="s">
        <v>67</v>
      </c>
      <c r="D7" s="39" t="s">
        <v>68</v>
      </c>
      <c r="E7" s="39" t="s">
        <v>51</v>
      </c>
      <c r="F7" s="40" t="s">
        <v>52</v>
      </c>
      <c r="G7" s="172">
        <v>30065</v>
      </c>
      <c r="H7" s="42" t="s">
        <v>69</v>
      </c>
      <c r="I7" s="43" t="s">
        <v>54</v>
      </c>
      <c r="J7" s="71">
        <v>202578</v>
      </c>
      <c r="K7" s="171">
        <f t="shared" si="1"/>
        <v>1</v>
      </c>
      <c r="L7" s="45"/>
      <c r="M7" s="46"/>
      <c r="N7" s="46"/>
      <c r="O7" s="46"/>
      <c r="P7" s="46"/>
      <c r="Q7" s="46"/>
      <c r="R7" s="46"/>
      <c r="S7" s="46"/>
      <c r="T7" s="46"/>
      <c r="U7" s="46"/>
      <c r="V7" s="46"/>
      <c r="W7" s="46"/>
      <c r="X7" s="46"/>
      <c r="Y7" s="46"/>
      <c r="Z7" s="46"/>
      <c r="AA7" s="46"/>
      <c r="AB7" s="46"/>
      <c r="AC7" s="46"/>
      <c r="AD7" s="46"/>
      <c r="AE7" s="47"/>
      <c r="AF7" s="23"/>
      <c r="AG7" s="23"/>
    </row>
    <row r="8" spans="1:33" x14ac:dyDescent="0.25">
      <c r="A8" s="32">
        <v>5</v>
      </c>
      <c r="B8" s="42" t="s">
        <v>70</v>
      </c>
      <c r="C8" s="39" t="s">
        <v>71</v>
      </c>
      <c r="D8" s="39" t="s">
        <v>72</v>
      </c>
      <c r="E8" s="39" t="s">
        <v>51</v>
      </c>
      <c r="F8" s="40" t="s">
        <v>52</v>
      </c>
      <c r="G8" s="172">
        <v>30066</v>
      </c>
      <c r="H8" s="42" t="s">
        <v>73</v>
      </c>
      <c r="I8" s="43" t="s">
        <v>60</v>
      </c>
      <c r="J8" s="71">
        <v>177209</v>
      </c>
      <c r="K8" s="171">
        <f t="shared" si="1"/>
        <v>1</v>
      </c>
      <c r="L8" s="45"/>
      <c r="M8" s="48" t="s">
        <v>40</v>
      </c>
      <c r="N8" s="46"/>
      <c r="O8" s="46"/>
      <c r="P8" s="49" t="str">
        <f ca="1">+OFFSET(B4,MATCH(0,K:K,0)-5,1)</f>
        <v>Bilbo</v>
      </c>
      <c r="Q8" s="50"/>
      <c r="R8" s="50"/>
      <c r="S8" s="50"/>
      <c r="T8" s="50"/>
      <c r="U8" s="51"/>
      <c r="V8" s="46"/>
      <c r="W8" s="52" t="s">
        <v>43</v>
      </c>
      <c r="X8" s="46"/>
      <c r="Y8" s="49" t="str">
        <f ca="1">+OFFSET(B4,MATCH(0,K:K,0)-5,4)</f>
        <v>SH</v>
      </c>
      <c r="Z8" s="50"/>
      <c r="AA8" s="50"/>
      <c r="AB8" s="50"/>
      <c r="AC8" s="50"/>
      <c r="AD8" s="51"/>
      <c r="AE8" s="47"/>
      <c r="AF8" s="23"/>
      <c r="AG8" s="23"/>
    </row>
    <row r="9" spans="1:33" x14ac:dyDescent="0.25">
      <c r="A9" s="32">
        <v>6</v>
      </c>
      <c r="B9" s="39" t="s">
        <v>74</v>
      </c>
      <c r="C9" s="39" t="s">
        <v>75</v>
      </c>
      <c r="D9" s="39" t="s">
        <v>76</v>
      </c>
      <c r="E9" s="39" t="s">
        <v>77</v>
      </c>
      <c r="F9" s="40" t="s">
        <v>52</v>
      </c>
      <c r="G9" s="172">
        <v>30092</v>
      </c>
      <c r="H9" s="42" t="s">
        <v>78</v>
      </c>
      <c r="I9" s="43" t="s">
        <v>65</v>
      </c>
      <c r="J9" s="71">
        <v>212254.23</v>
      </c>
      <c r="K9" s="171">
        <f t="shared" si="1"/>
        <v>1</v>
      </c>
      <c r="L9" s="45"/>
      <c r="M9" s="46"/>
      <c r="N9" s="46"/>
      <c r="O9" s="46"/>
      <c r="P9" s="46"/>
      <c r="Q9" s="46"/>
      <c r="R9" s="46"/>
      <c r="S9" s="46"/>
      <c r="T9" s="46"/>
      <c r="U9" s="46"/>
      <c r="V9" s="46"/>
      <c r="W9" s="46"/>
      <c r="X9" s="46"/>
      <c r="Y9" s="46"/>
      <c r="Z9" s="46"/>
      <c r="AA9" s="46"/>
      <c r="AB9" s="46"/>
      <c r="AC9" s="46"/>
      <c r="AD9" s="46"/>
      <c r="AE9" s="47"/>
      <c r="AF9" s="23"/>
      <c r="AG9" s="23"/>
    </row>
    <row r="10" spans="1:33" x14ac:dyDescent="0.25">
      <c r="A10" s="32">
        <v>7</v>
      </c>
      <c r="B10" s="39" t="s">
        <v>79</v>
      </c>
      <c r="C10" s="39" t="s">
        <v>80</v>
      </c>
      <c r="D10" s="39" t="s">
        <v>50</v>
      </c>
      <c r="E10" s="39" t="s">
        <v>81</v>
      </c>
      <c r="F10" s="40" t="s">
        <v>82</v>
      </c>
      <c r="G10" s="172">
        <v>30092</v>
      </c>
      <c r="H10" s="42" t="s">
        <v>53</v>
      </c>
      <c r="I10" s="43" t="s">
        <v>54</v>
      </c>
      <c r="J10" s="71">
        <v>124533.45</v>
      </c>
      <c r="K10" s="171">
        <f t="shared" si="1"/>
        <v>1</v>
      </c>
      <c r="L10" s="45"/>
      <c r="M10" s="48" t="s">
        <v>41</v>
      </c>
      <c r="N10" s="46"/>
      <c r="O10" s="46"/>
      <c r="P10" s="49" t="str">
        <f ca="1">+OFFSET(B4,MATCH(0,K:K,0)-5,2)</f>
        <v>Bag End, Bagshot Row</v>
      </c>
      <c r="Q10" s="50"/>
      <c r="R10" s="50"/>
      <c r="S10" s="50"/>
      <c r="T10" s="50"/>
      <c r="U10" s="51"/>
      <c r="V10" s="46"/>
      <c r="W10" s="52" t="s">
        <v>44</v>
      </c>
      <c r="X10" s="46"/>
      <c r="Y10" s="353" t="str">
        <f ca="1">TEXT(OFFSET(B4,MATCH(0,K:K,0)-5,5),"00000")</f>
        <v>01011</v>
      </c>
      <c r="Z10" s="354"/>
      <c r="AA10" s="354"/>
      <c r="AB10" s="354"/>
      <c r="AC10" s="354"/>
      <c r="AD10" s="355"/>
      <c r="AE10" s="47"/>
      <c r="AF10" s="23"/>
      <c r="AG10" s="23"/>
    </row>
    <row r="11" spans="1:33" x14ac:dyDescent="0.25">
      <c r="A11" s="32">
        <v>8</v>
      </c>
      <c r="B11" s="39" t="s">
        <v>195</v>
      </c>
      <c r="C11" s="39" t="s">
        <v>196</v>
      </c>
      <c r="D11" s="39" t="s">
        <v>197</v>
      </c>
      <c r="E11" s="39" t="s">
        <v>198</v>
      </c>
      <c r="F11" s="40" t="s">
        <v>199</v>
      </c>
      <c r="G11" s="172" t="s">
        <v>200</v>
      </c>
      <c r="H11" s="42" t="s">
        <v>201</v>
      </c>
      <c r="I11" s="43" t="s">
        <v>98</v>
      </c>
      <c r="J11" s="71">
        <v>554246.01</v>
      </c>
      <c r="K11" s="171">
        <f t="shared" si="1"/>
        <v>1</v>
      </c>
      <c r="L11" s="45"/>
      <c r="M11" s="46"/>
      <c r="N11" s="46"/>
      <c r="O11" s="46"/>
      <c r="P11" s="46"/>
      <c r="Q11" s="46"/>
      <c r="R11" s="46"/>
      <c r="S11" s="46"/>
      <c r="T11" s="46"/>
      <c r="U11" s="46"/>
      <c r="V11" s="46"/>
      <c r="W11" s="46"/>
      <c r="X11" s="46"/>
      <c r="Y11" s="46"/>
      <c r="Z11" s="46"/>
      <c r="AA11" s="46"/>
      <c r="AB11" s="46"/>
      <c r="AC11" s="46"/>
      <c r="AD11" s="46"/>
      <c r="AE11" s="47"/>
      <c r="AF11" s="23"/>
      <c r="AG11" s="23"/>
    </row>
    <row r="12" spans="1:33" x14ac:dyDescent="0.25">
      <c r="A12" s="32">
        <v>9</v>
      </c>
      <c r="B12" s="39"/>
      <c r="C12" s="39"/>
      <c r="D12" s="39"/>
      <c r="E12" s="39"/>
      <c r="F12" s="39"/>
      <c r="G12" s="172"/>
      <c r="H12" s="39"/>
      <c r="I12" s="40"/>
      <c r="J12" s="39"/>
      <c r="K12" s="171">
        <f t="shared" si="1"/>
        <v>0</v>
      </c>
      <c r="L12" s="45"/>
      <c r="M12" s="52" t="s">
        <v>45</v>
      </c>
      <c r="N12" s="46"/>
      <c r="O12" s="46"/>
      <c r="P12" s="49" t="str">
        <f ca="1">+OFFSET(B4,MATCH(0,K:K,0)-5,6)</f>
        <v>777-220-9547</v>
      </c>
      <c r="Q12" s="50"/>
      <c r="R12" s="50"/>
      <c r="S12" s="50"/>
      <c r="T12" s="50"/>
      <c r="U12" s="51"/>
      <c r="V12" s="46"/>
      <c r="W12" s="60" t="s">
        <v>99</v>
      </c>
      <c r="X12" s="46"/>
      <c r="Y12" s="49" t="str">
        <f ca="1">+OFFSET(B4,MATCH(0,K:K,0)-5,7)</f>
        <v>Plan D</v>
      </c>
      <c r="Z12" s="50"/>
      <c r="AA12" s="50"/>
      <c r="AB12" s="50"/>
      <c r="AC12" s="50"/>
      <c r="AD12" s="51"/>
      <c r="AE12" s="47"/>
      <c r="AF12" s="23"/>
      <c r="AG12" s="23"/>
    </row>
    <row r="13" spans="1:33" x14ac:dyDescent="0.25">
      <c r="A13" s="32">
        <v>10</v>
      </c>
      <c r="B13" s="39"/>
      <c r="C13" s="39"/>
      <c r="D13" s="39"/>
      <c r="E13" s="39"/>
      <c r="F13" s="39"/>
      <c r="G13" s="172"/>
      <c r="H13" s="39"/>
      <c r="I13" s="40"/>
      <c r="J13" s="39"/>
      <c r="K13" s="171">
        <f t="shared" si="1"/>
        <v>0</v>
      </c>
      <c r="L13" s="45"/>
      <c r="M13" s="46"/>
      <c r="N13" s="46"/>
      <c r="O13" s="46"/>
      <c r="P13" s="46"/>
      <c r="Q13" s="46"/>
      <c r="R13" s="46"/>
      <c r="S13" s="46"/>
      <c r="T13" s="46"/>
      <c r="U13" s="46"/>
      <c r="V13" s="46"/>
      <c r="W13" s="46"/>
      <c r="X13" s="46"/>
      <c r="Y13" s="46"/>
      <c r="Z13" s="46"/>
      <c r="AA13" s="46"/>
      <c r="AB13" s="46"/>
      <c r="AC13" s="46"/>
      <c r="AD13" s="46"/>
      <c r="AE13" s="47"/>
      <c r="AF13" s="23"/>
      <c r="AG13" s="23"/>
    </row>
    <row r="14" spans="1:33" x14ac:dyDescent="0.25">
      <c r="A14" s="32">
        <v>11</v>
      </c>
      <c r="B14" s="39"/>
      <c r="C14" s="39"/>
      <c r="D14" s="39"/>
      <c r="E14" s="39"/>
      <c r="F14" s="39"/>
      <c r="G14" s="172"/>
      <c r="H14" s="39"/>
      <c r="I14" s="40"/>
      <c r="J14" s="39"/>
      <c r="K14" s="171">
        <f t="shared" si="1"/>
        <v>0</v>
      </c>
      <c r="L14" s="45"/>
      <c r="M14" s="52" t="s">
        <v>90</v>
      </c>
      <c r="N14" s="46"/>
      <c r="O14" s="46"/>
      <c r="P14" s="46"/>
      <c r="Q14" s="46"/>
      <c r="R14" s="46"/>
      <c r="S14" s="46"/>
      <c r="T14" s="46"/>
      <c r="U14" s="46"/>
      <c r="V14" s="46"/>
      <c r="W14" s="46"/>
      <c r="X14" s="46"/>
      <c r="Y14" s="356" t="str">
        <f ca="1">TEXT(OFFSET(B4,MATCH(0,K:K,0)-5,8),"$#,###.00")</f>
        <v>$554,246.01</v>
      </c>
      <c r="Z14" s="357"/>
      <c r="AA14" s="357"/>
      <c r="AB14" s="357"/>
      <c r="AC14" s="357"/>
      <c r="AD14" s="358"/>
      <c r="AE14" s="47"/>
      <c r="AF14" s="23"/>
      <c r="AG14" s="23"/>
    </row>
    <row r="15" spans="1:33" x14ac:dyDescent="0.25">
      <c r="A15" s="32">
        <v>12</v>
      </c>
      <c r="B15" s="39"/>
      <c r="C15" s="39"/>
      <c r="D15" s="39"/>
      <c r="E15" s="39"/>
      <c r="F15" s="39"/>
      <c r="G15" s="172"/>
      <c r="H15" s="39"/>
      <c r="I15" s="40"/>
      <c r="J15" s="39"/>
      <c r="K15" s="171">
        <f t="shared" si="1"/>
        <v>0</v>
      </c>
      <c r="L15" s="45"/>
      <c r="M15" s="46"/>
      <c r="N15" s="46"/>
      <c r="O15" s="46"/>
      <c r="P15" s="46"/>
      <c r="Q15" s="46"/>
      <c r="R15" s="46"/>
      <c r="S15" s="46"/>
      <c r="T15" s="46"/>
      <c r="U15" s="46"/>
      <c r="V15" s="46"/>
      <c r="W15" s="46"/>
      <c r="X15" s="46"/>
      <c r="Y15" s="46"/>
      <c r="Z15" s="46"/>
      <c r="AA15" s="46"/>
      <c r="AB15" s="46"/>
      <c r="AC15" s="46"/>
      <c r="AD15" s="46"/>
      <c r="AE15" s="47"/>
      <c r="AF15" s="23"/>
      <c r="AG15" s="23"/>
    </row>
    <row r="16" spans="1:33" x14ac:dyDescent="0.25">
      <c r="A16" s="32">
        <v>13</v>
      </c>
      <c r="B16" s="39"/>
      <c r="C16" s="39"/>
      <c r="D16" s="39"/>
      <c r="E16" s="39"/>
      <c r="F16" s="39"/>
      <c r="G16" s="172"/>
      <c r="H16" s="39"/>
      <c r="I16" s="40"/>
      <c r="J16" s="39"/>
      <c r="K16" s="171">
        <f t="shared" si="1"/>
        <v>0</v>
      </c>
      <c r="L16" s="303" t="s">
        <v>91</v>
      </c>
      <c r="M16" s="304"/>
      <c r="N16" s="304"/>
      <c r="O16" s="304"/>
      <c r="P16" s="304"/>
      <c r="Q16" s="304"/>
      <c r="R16" s="304"/>
      <c r="S16" s="304"/>
      <c r="T16" s="304"/>
      <c r="U16" s="304"/>
      <c r="V16" s="304"/>
      <c r="W16" s="304"/>
      <c r="X16" s="304"/>
      <c r="Y16" s="304"/>
      <c r="Z16" s="304"/>
      <c r="AA16" s="304"/>
      <c r="AB16" s="304"/>
      <c r="AC16" s="304"/>
      <c r="AD16" s="304"/>
      <c r="AE16" s="305"/>
      <c r="AF16" s="23"/>
      <c r="AG16" s="23"/>
    </row>
    <row r="17" spans="1:33" ht="16.5" thickBot="1" x14ac:dyDescent="0.3">
      <c r="A17" s="32">
        <v>14</v>
      </c>
      <c r="B17" s="39"/>
      <c r="C17" s="39"/>
      <c r="D17" s="39"/>
      <c r="E17" s="39"/>
      <c r="F17" s="39"/>
      <c r="G17" s="172"/>
      <c r="H17" s="39"/>
      <c r="I17" s="40"/>
      <c r="J17" s="39"/>
      <c r="K17" s="171">
        <f t="shared" si="1"/>
        <v>0</v>
      </c>
      <c r="L17" s="61"/>
      <c r="M17" s="62"/>
      <c r="N17" s="62"/>
      <c r="O17" s="62"/>
      <c r="P17" s="62"/>
      <c r="Q17" s="62"/>
      <c r="R17" s="62"/>
      <c r="S17" s="62"/>
      <c r="T17" s="62"/>
      <c r="U17" s="62"/>
      <c r="V17" s="62"/>
      <c r="W17" s="62"/>
      <c r="X17" s="62"/>
      <c r="Y17" s="62"/>
      <c r="Z17" s="62"/>
      <c r="AA17" s="62"/>
      <c r="AB17" s="62"/>
      <c r="AC17" s="62"/>
      <c r="AD17" s="62"/>
      <c r="AE17" s="63"/>
      <c r="AF17" s="23"/>
      <c r="AG17" s="23"/>
    </row>
    <row r="18" spans="1:33" x14ac:dyDescent="0.25">
      <c r="A18" s="32">
        <v>15</v>
      </c>
      <c r="B18" s="39"/>
      <c r="C18" s="39"/>
      <c r="D18" s="39"/>
      <c r="E18" s="39"/>
      <c r="F18" s="39"/>
      <c r="G18" s="172"/>
      <c r="H18" s="39"/>
      <c r="I18" s="40"/>
      <c r="J18" s="39"/>
      <c r="K18" s="171">
        <f t="shared" si="1"/>
        <v>0</v>
      </c>
      <c r="L18" s="23"/>
      <c r="M18" s="23"/>
      <c r="N18" s="23"/>
      <c r="O18" s="23"/>
      <c r="P18" s="23"/>
      <c r="Q18" s="23"/>
      <c r="R18" s="23"/>
      <c r="S18" s="23"/>
      <c r="T18" s="23"/>
      <c r="U18" s="23"/>
      <c r="V18" s="23"/>
      <c r="W18" s="23"/>
      <c r="X18" s="23"/>
      <c r="Y18" s="23"/>
      <c r="Z18" s="23"/>
      <c r="AA18" s="23"/>
      <c r="AB18" s="23"/>
      <c r="AC18" s="23"/>
      <c r="AD18" s="23"/>
      <c r="AE18" s="23"/>
      <c r="AF18" s="23"/>
      <c r="AG18" s="23"/>
    </row>
    <row r="19" spans="1:33" x14ac:dyDescent="0.25">
      <c r="A19" s="32">
        <v>16</v>
      </c>
      <c r="B19" s="39"/>
      <c r="C19" s="39"/>
      <c r="D19" s="39"/>
      <c r="E19" s="39"/>
      <c r="F19" s="39"/>
      <c r="G19" s="172"/>
      <c r="H19" s="39"/>
      <c r="I19" s="40"/>
      <c r="J19" s="39"/>
      <c r="K19" s="171">
        <f t="shared" si="1"/>
        <v>0</v>
      </c>
      <c r="L19" s="23"/>
      <c r="M19" s="23"/>
      <c r="N19" s="23"/>
      <c r="O19" s="23"/>
      <c r="P19" s="23"/>
      <c r="Q19" s="23"/>
      <c r="R19" s="23"/>
      <c r="S19" s="23"/>
      <c r="T19" s="23"/>
      <c r="U19" s="23"/>
      <c r="V19" s="23"/>
      <c r="W19" s="23"/>
      <c r="X19" s="23"/>
      <c r="Y19" s="23"/>
      <c r="Z19" s="23"/>
      <c r="AA19" s="23"/>
      <c r="AB19" s="23"/>
      <c r="AC19" s="23"/>
      <c r="AD19" s="23"/>
      <c r="AE19" s="23"/>
      <c r="AF19" s="23"/>
      <c r="AG19" s="23"/>
    </row>
    <row r="20" spans="1:33" x14ac:dyDescent="0.25">
      <c r="A20" s="32">
        <v>17</v>
      </c>
      <c r="B20" s="39"/>
      <c r="C20" s="39"/>
      <c r="D20" s="39"/>
      <c r="E20" s="39"/>
      <c r="F20" s="39"/>
      <c r="G20" s="172"/>
      <c r="H20" s="39"/>
      <c r="I20" s="40"/>
      <c r="J20" s="39"/>
      <c r="K20" s="171">
        <f t="shared" si="1"/>
        <v>0</v>
      </c>
      <c r="L20" s="23"/>
      <c r="M20" s="23"/>
      <c r="N20" s="23"/>
      <c r="O20" s="23"/>
      <c r="P20" s="23"/>
      <c r="Q20" s="23"/>
      <c r="R20" s="23"/>
      <c r="S20" s="23"/>
      <c r="T20" s="23"/>
      <c r="U20" s="23"/>
      <c r="V20" s="23"/>
      <c r="W20" s="23"/>
      <c r="X20" s="23"/>
      <c r="Y20" s="23"/>
      <c r="Z20" s="23"/>
      <c r="AA20" s="23"/>
      <c r="AB20" s="23"/>
      <c r="AC20" s="23"/>
      <c r="AD20" s="23"/>
      <c r="AE20" s="23"/>
      <c r="AF20" s="23"/>
      <c r="AG20" s="23"/>
    </row>
    <row r="21" spans="1:33" x14ac:dyDescent="0.25">
      <c r="A21" s="32">
        <v>18</v>
      </c>
      <c r="B21" s="39"/>
      <c r="C21" s="39"/>
      <c r="D21" s="39"/>
      <c r="E21" s="39"/>
      <c r="F21" s="39"/>
      <c r="G21" s="172"/>
      <c r="H21" s="39"/>
      <c r="I21" s="40"/>
      <c r="J21" s="39"/>
      <c r="K21" s="171">
        <f t="shared" si="1"/>
        <v>0</v>
      </c>
      <c r="L21" s="23"/>
      <c r="M21" s="23"/>
      <c r="N21" s="23"/>
      <c r="O21" s="23"/>
      <c r="P21" s="23"/>
      <c r="Q21" s="23"/>
      <c r="R21" s="23"/>
      <c r="S21" s="23"/>
      <c r="T21" s="23"/>
      <c r="U21" s="23"/>
      <c r="V21" s="23"/>
      <c r="W21" s="23"/>
      <c r="X21" s="23"/>
      <c r="Y21" s="23"/>
      <c r="Z21" s="23"/>
      <c r="AA21" s="23"/>
      <c r="AB21" s="23"/>
      <c r="AC21" s="23"/>
      <c r="AD21" s="23"/>
      <c r="AE21" s="23"/>
      <c r="AF21" s="23"/>
      <c r="AG21" s="23"/>
    </row>
    <row r="22" spans="1:33" x14ac:dyDescent="0.25">
      <c r="A22" s="32">
        <v>19</v>
      </c>
      <c r="B22" s="39"/>
      <c r="C22" s="39"/>
      <c r="D22" s="39"/>
      <c r="E22" s="39"/>
      <c r="F22" s="39"/>
      <c r="G22" s="172"/>
      <c r="H22" s="39"/>
      <c r="I22" s="40"/>
      <c r="J22" s="39"/>
      <c r="K22" s="171">
        <f t="shared" si="1"/>
        <v>0</v>
      </c>
      <c r="L22" s="23"/>
      <c r="M22" s="23"/>
      <c r="N22" s="23"/>
      <c r="O22" s="23"/>
      <c r="P22" s="23"/>
      <c r="Q22" s="23"/>
      <c r="R22" s="23"/>
      <c r="S22" s="23"/>
      <c r="T22" s="23"/>
      <c r="U22" s="23"/>
      <c r="V22" s="23"/>
      <c r="W22" s="23"/>
      <c r="X22" s="23"/>
      <c r="Y22" s="23"/>
      <c r="Z22" s="23"/>
      <c r="AA22" s="23"/>
      <c r="AB22" s="23"/>
      <c r="AC22" s="23"/>
      <c r="AD22" s="23"/>
      <c r="AE22" s="23"/>
      <c r="AF22" s="23"/>
      <c r="AG22" s="23"/>
    </row>
    <row r="23" spans="1:33" x14ac:dyDescent="0.25">
      <c r="A23" s="32">
        <v>20</v>
      </c>
      <c r="B23" s="39"/>
      <c r="C23" s="39"/>
      <c r="D23" s="39"/>
      <c r="E23" s="39"/>
      <c r="F23" s="39"/>
      <c r="G23" s="172"/>
      <c r="H23" s="39"/>
      <c r="I23" s="40"/>
      <c r="J23" s="39"/>
      <c r="K23" s="171">
        <f t="shared" si="1"/>
        <v>0</v>
      </c>
      <c r="L23" s="23"/>
      <c r="M23" s="23"/>
      <c r="N23" s="23"/>
      <c r="O23" s="23"/>
      <c r="P23" s="23"/>
      <c r="Q23" s="23"/>
      <c r="R23" s="23"/>
      <c r="S23" s="23"/>
      <c r="T23" s="23"/>
      <c r="U23" s="23"/>
      <c r="V23" s="23"/>
      <c r="W23" s="23"/>
      <c r="X23" s="23"/>
      <c r="Y23" s="23"/>
      <c r="Z23" s="23"/>
      <c r="AA23" s="23"/>
      <c r="AB23" s="23"/>
      <c r="AC23" s="23"/>
      <c r="AD23" s="23"/>
      <c r="AE23" s="23"/>
      <c r="AF23" s="23"/>
      <c r="AG23" s="23"/>
    </row>
    <row r="24" spans="1:33" x14ac:dyDescent="0.25">
      <c r="A24" s="32">
        <v>21</v>
      </c>
      <c r="B24" s="39"/>
      <c r="C24" s="39"/>
      <c r="D24" s="39"/>
      <c r="E24" s="39"/>
      <c r="F24" s="39"/>
      <c r="G24" s="172"/>
      <c r="H24" s="39"/>
      <c r="I24" s="40"/>
      <c r="J24" s="39"/>
      <c r="K24" s="171">
        <f t="shared" si="1"/>
        <v>0</v>
      </c>
      <c r="L24" s="23"/>
      <c r="M24" s="23"/>
      <c r="N24" s="23"/>
      <c r="O24" s="23"/>
      <c r="P24" s="23"/>
      <c r="Q24" s="23"/>
      <c r="R24" s="23"/>
      <c r="S24" s="23"/>
      <c r="T24" s="23"/>
      <c r="U24" s="23"/>
      <c r="V24" s="23"/>
      <c r="W24" s="23"/>
      <c r="X24" s="23"/>
      <c r="Y24" s="23"/>
      <c r="Z24" s="23"/>
      <c r="AA24" s="23"/>
      <c r="AB24" s="23"/>
      <c r="AC24" s="23"/>
      <c r="AD24" s="23"/>
      <c r="AE24" s="23"/>
      <c r="AF24" s="23"/>
      <c r="AG24" s="23"/>
    </row>
    <row r="25" spans="1:33" x14ac:dyDescent="0.25">
      <c r="A25" s="32">
        <v>22</v>
      </c>
      <c r="B25" s="39"/>
      <c r="C25" s="39"/>
      <c r="D25" s="39"/>
      <c r="E25" s="39"/>
      <c r="F25" s="39"/>
      <c r="G25" s="172"/>
      <c r="H25" s="39"/>
      <c r="I25" s="40"/>
      <c r="J25" s="39"/>
      <c r="K25" s="171">
        <f t="shared" si="1"/>
        <v>0</v>
      </c>
      <c r="L25" s="23"/>
      <c r="M25" s="23"/>
      <c r="N25" s="23"/>
      <c r="O25" s="23"/>
      <c r="P25" s="23"/>
      <c r="Q25" s="23"/>
      <c r="R25" s="23"/>
      <c r="S25" s="23"/>
      <c r="T25" s="23"/>
      <c r="U25" s="23"/>
      <c r="V25" s="23"/>
      <c r="W25" s="23"/>
      <c r="X25" s="23"/>
      <c r="Y25" s="23"/>
      <c r="Z25" s="23"/>
      <c r="AA25" s="23"/>
      <c r="AB25" s="23"/>
      <c r="AC25" s="23"/>
      <c r="AD25" s="23"/>
      <c r="AE25" s="23"/>
      <c r="AF25" s="23"/>
      <c r="AG25" s="23"/>
    </row>
    <row r="26" spans="1:33" x14ac:dyDescent="0.25">
      <c r="A26" s="32">
        <v>23</v>
      </c>
      <c r="B26" s="39"/>
      <c r="C26" s="39"/>
      <c r="D26" s="39"/>
      <c r="E26" s="39"/>
      <c r="F26" s="39"/>
      <c r="G26" s="172"/>
      <c r="H26" s="39"/>
      <c r="I26" s="40"/>
      <c r="J26" s="39"/>
      <c r="K26" s="171">
        <f t="shared" si="1"/>
        <v>0</v>
      </c>
      <c r="L26" s="23"/>
      <c r="M26" s="23"/>
      <c r="N26" s="23"/>
      <c r="O26" s="23"/>
      <c r="P26" s="23"/>
      <c r="Q26" s="23"/>
      <c r="R26" s="23"/>
      <c r="S26" s="23"/>
      <c r="T26" s="23"/>
      <c r="U26" s="23"/>
      <c r="V26" s="23"/>
      <c r="W26" s="23"/>
      <c r="X26" s="23"/>
      <c r="Y26" s="23"/>
      <c r="Z26" s="23"/>
      <c r="AA26" s="23"/>
      <c r="AB26" s="23"/>
      <c r="AC26" s="23"/>
      <c r="AD26" s="23"/>
      <c r="AE26" s="23"/>
      <c r="AF26" s="23"/>
      <c r="AG26" s="23"/>
    </row>
    <row r="27" spans="1:33" x14ac:dyDescent="0.25">
      <c r="A27" s="32">
        <v>24</v>
      </c>
      <c r="B27" s="39"/>
      <c r="C27" s="39"/>
      <c r="D27" s="39"/>
      <c r="E27" s="39"/>
      <c r="F27" s="39"/>
      <c r="G27" s="172"/>
      <c r="H27" s="39"/>
      <c r="I27" s="40"/>
      <c r="J27" s="39"/>
      <c r="K27" s="171">
        <f t="shared" si="1"/>
        <v>0</v>
      </c>
      <c r="L27" s="23"/>
      <c r="M27" s="23"/>
      <c r="N27" s="23"/>
      <c r="O27" s="23"/>
      <c r="P27" s="23"/>
      <c r="Q27" s="23"/>
      <c r="R27" s="23"/>
      <c r="S27" s="23"/>
      <c r="T27" s="23"/>
      <c r="U27" s="23"/>
      <c r="V27" s="23"/>
      <c r="W27" s="23"/>
      <c r="X27" s="23"/>
      <c r="Y27" s="23"/>
      <c r="Z27" s="23"/>
      <c r="AA27" s="23"/>
      <c r="AB27" s="23"/>
      <c r="AC27" s="23"/>
      <c r="AD27" s="23"/>
      <c r="AE27" s="23"/>
      <c r="AF27" s="23"/>
      <c r="AG27" s="23"/>
    </row>
    <row r="28" spans="1:33" x14ac:dyDescent="0.25">
      <c r="A28" s="32">
        <v>25</v>
      </c>
      <c r="B28" s="39"/>
      <c r="C28" s="39"/>
      <c r="D28" s="39"/>
      <c r="E28" s="39"/>
      <c r="F28" s="39"/>
      <c r="G28" s="172"/>
      <c r="H28" s="39"/>
      <c r="I28" s="40"/>
      <c r="J28" s="39"/>
      <c r="K28" s="171">
        <f t="shared" si="1"/>
        <v>0</v>
      </c>
      <c r="L28" s="23"/>
      <c r="M28" s="23"/>
      <c r="N28" s="23"/>
      <c r="O28" s="23"/>
      <c r="P28" s="23"/>
      <c r="Q28" s="23"/>
      <c r="R28" s="23"/>
      <c r="S28" s="23"/>
      <c r="T28" s="23"/>
      <c r="U28" s="23"/>
      <c r="V28" s="23"/>
      <c r="W28" s="23"/>
      <c r="X28" s="23"/>
      <c r="Y28" s="23"/>
      <c r="Z28" s="23"/>
      <c r="AA28" s="23"/>
      <c r="AB28" s="23"/>
      <c r="AC28" s="23"/>
      <c r="AD28" s="23"/>
      <c r="AE28" s="23"/>
      <c r="AF28" s="23"/>
      <c r="AG28" s="23"/>
    </row>
  </sheetData>
  <mergeCells count="4">
    <mergeCell ref="L4:AE4"/>
    <mergeCell ref="Y10:AD10"/>
    <mergeCell ref="Y14:AD14"/>
    <mergeCell ref="L16:AE16"/>
  </mergeCell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AH28"/>
  <sheetViews>
    <sheetView showGridLines="0" workbookViewId="0">
      <selection activeCell="Q1" sqref="Q1"/>
    </sheetView>
  </sheetViews>
  <sheetFormatPr defaultRowHeight="15.75" x14ac:dyDescent="0.25"/>
  <cols>
    <col min="1" max="1" width="8" bestFit="1" customWidth="1"/>
    <col min="2" max="2" width="0" hidden="1" customWidth="1"/>
    <col min="3" max="4" width="10" bestFit="1" customWidth="1"/>
    <col min="5" max="5" width="19" bestFit="1" customWidth="1"/>
    <col min="6" max="6" width="8.375" bestFit="1" customWidth="1"/>
    <col min="7" max="7" width="5.375" bestFit="1" customWidth="1"/>
    <col min="8" max="8" width="6.125" bestFit="1" customWidth="1"/>
    <col min="9" max="9" width="11.875" bestFit="1" customWidth="1"/>
    <col min="10" max="10" width="11.875" customWidth="1"/>
    <col min="11" max="11" width="12.5" bestFit="1" customWidth="1"/>
    <col min="12" max="12" width="3.75" customWidth="1"/>
    <col min="13" max="32" width="3.625" customWidth="1"/>
    <col min="33" max="33" width="3" customWidth="1"/>
  </cols>
  <sheetData>
    <row r="1" spans="1:34" x14ac:dyDescent="0.25">
      <c r="A1" s="16"/>
      <c r="B1" s="16"/>
      <c r="C1" s="16"/>
      <c r="D1" s="16"/>
      <c r="E1" s="16"/>
      <c r="F1" s="16"/>
      <c r="G1" s="16"/>
      <c r="H1" s="16"/>
      <c r="I1" s="16"/>
      <c r="J1" s="16"/>
      <c r="K1" s="16"/>
      <c r="L1" s="16"/>
      <c r="M1" s="16"/>
      <c r="N1" s="16"/>
      <c r="O1" s="16"/>
      <c r="P1" s="16"/>
      <c r="Q1" s="16"/>
      <c r="R1" s="16"/>
      <c r="S1" s="16"/>
      <c r="T1" s="17" t="str">
        <f t="shared" ref="T1:AC1" si="0">VLOOKUP(MAX($A$3:$A$147),$A$3:$I$147,2)</f>
        <v>X</v>
      </c>
      <c r="U1" s="17" t="str">
        <f t="shared" si="0"/>
        <v>X</v>
      </c>
      <c r="V1" s="17" t="str">
        <f t="shared" si="0"/>
        <v>X</v>
      </c>
      <c r="W1" s="17" t="str">
        <f t="shared" si="0"/>
        <v>X</v>
      </c>
      <c r="X1" s="17" t="str">
        <f t="shared" si="0"/>
        <v>X</v>
      </c>
      <c r="Y1" s="17" t="str">
        <f t="shared" si="0"/>
        <v>X</v>
      </c>
      <c r="Z1" s="17" t="str">
        <f t="shared" si="0"/>
        <v>X</v>
      </c>
      <c r="AA1" s="17" t="str">
        <f t="shared" si="0"/>
        <v>X</v>
      </c>
      <c r="AB1" s="17" t="str">
        <f t="shared" si="0"/>
        <v>X</v>
      </c>
      <c r="AC1" s="17" t="str">
        <f t="shared" si="0"/>
        <v>X</v>
      </c>
      <c r="AD1" s="18"/>
      <c r="AE1" s="18"/>
      <c r="AF1" s="18"/>
      <c r="AG1" s="18"/>
      <c r="AH1" s="18"/>
    </row>
    <row r="2" spans="1:34" ht="16.5" thickBot="1" x14ac:dyDescent="0.3">
      <c r="A2" s="73"/>
      <c r="B2" s="73"/>
      <c r="C2" s="20"/>
      <c r="D2" s="20"/>
      <c r="E2" s="20"/>
      <c r="F2" s="20"/>
      <c r="G2" s="20"/>
      <c r="H2" s="20"/>
      <c r="I2" s="20"/>
      <c r="J2" s="22"/>
      <c r="K2" s="20"/>
      <c r="L2" s="23"/>
      <c r="M2" s="23"/>
      <c r="N2" s="23"/>
      <c r="O2" s="23"/>
      <c r="P2" s="23"/>
      <c r="Q2" s="23"/>
      <c r="R2" s="23"/>
      <c r="S2" s="23"/>
      <c r="T2" s="23"/>
      <c r="U2" s="23"/>
      <c r="V2" s="23"/>
      <c r="W2" s="23"/>
      <c r="X2" s="23"/>
      <c r="Y2" s="23"/>
      <c r="Z2" s="23"/>
      <c r="AA2" s="23"/>
      <c r="AB2" s="23"/>
      <c r="AC2" s="23"/>
      <c r="AD2" s="23"/>
      <c r="AE2" s="23"/>
      <c r="AF2" s="23"/>
      <c r="AG2" s="23"/>
      <c r="AH2" s="23"/>
    </row>
    <row r="3" spans="1:34" x14ac:dyDescent="0.25">
      <c r="A3" s="68" t="s">
        <v>38</v>
      </c>
      <c r="B3" s="68" t="s">
        <v>172</v>
      </c>
      <c r="C3" s="69" t="s">
        <v>39</v>
      </c>
      <c r="D3" s="69" t="s">
        <v>40</v>
      </c>
      <c r="E3" s="69" t="s">
        <v>41</v>
      </c>
      <c r="F3" s="68" t="s">
        <v>42</v>
      </c>
      <c r="G3" s="68" t="s">
        <v>43</v>
      </c>
      <c r="H3" s="68" t="s">
        <v>44</v>
      </c>
      <c r="I3" s="68" t="s">
        <v>45</v>
      </c>
      <c r="J3" s="68" t="s">
        <v>46</v>
      </c>
      <c r="K3" s="68" t="s">
        <v>47</v>
      </c>
      <c r="L3" s="23"/>
      <c r="M3" s="29"/>
      <c r="N3" s="30"/>
      <c r="O3" s="30"/>
      <c r="P3" s="30"/>
      <c r="Q3" s="30"/>
      <c r="R3" s="30"/>
      <c r="S3" s="30"/>
      <c r="T3" s="30"/>
      <c r="U3" s="30"/>
      <c r="V3" s="30"/>
      <c r="W3" s="30"/>
      <c r="X3" s="30"/>
      <c r="Y3" s="30"/>
      <c r="Z3" s="30"/>
      <c r="AA3" s="30"/>
      <c r="AB3" s="30"/>
      <c r="AC3" s="30"/>
      <c r="AD3" s="30"/>
      <c r="AE3" s="30"/>
      <c r="AF3" s="31"/>
      <c r="AG3" s="23"/>
      <c r="AH3" s="23"/>
    </row>
    <row r="4" spans="1:34" x14ac:dyDescent="0.25">
      <c r="A4" s="32">
        <v>1</v>
      </c>
      <c r="B4" s="32" t="str">
        <f>IF(AND(C4&lt;&gt;"",C5&lt;&gt;""),"","X")</f>
        <v/>
      </c>
      <c r="C4" s="33" t="s">
        <v>48</v>
      </c>
      <c r="D4" s="34" t="s">
        <v>49</v>
      </c>
      <c r="E4" s="34" t="s">
        <v>50</v>
      </c>
      <c r="F4" s="34" t="s">
        <v>51</v>
      </c>
      <c r="G4" s="35" t="s">
        <v>52</v>
      </c>
      <c r="H4" s="35">
        <v>30062</v>
      </c>
      <c r="I4" s="33" t="s">
        <v>53</v>
      </c>
      <c r="J4" s="37" t="s">
        <v>54</v>
      </c>
      <c r="K4" s="70">
        <v>157665</v>
      </c>
      <c r="L4" s="23"/>
      <c r="M4" s="300" t="s">
        <v>55</v>
      </c>
      <c r="N4" s="301"/>
      <c r="O4" s="301"/>
      <c r="P4" s="301"/>
      <c r="Q4" s="301"/>
      <c r="R4" s="301"/>
      <c r="S4" s="301"/>
      <c r="T4" s="301"/>
      <c r="U4" s="301"/>
      <c r="V4" s="301"/>
      <c r="W4" s="301"/>
      <c r="X4" s="301"/>
      <c r="Y4" s="301"/>
      <c r="Z4" s="301"/>
      <c r="AA4" s="301"/>
      <c r="AB4" s="301"/>
      <c r="AC4" s="301"/>
      <c r="AD4" s="301"/>
      <c r="AE4" s="301"/>
      <c r="AF4" s="302"/>
      <c r="AG4" s="23"/>
      <c r="AH4" s="23"/>
    </row>
    <row r="5" spans="1:34" x14ac:dyDescent="0.25">
      <c r="A5" s="32">
        <v>2</v>
      </c>
      <c r="B5" s="32" t="str">
        <f t="shared" ref="B5:B28" si="1">IF(AND(C5&lt;&gt;"",C6&lt;&gt;""),"","X")</f>
        <v/>
      </c>
      <c r="C5" s="39" t="s">
        <v>56</v>
      </c>
      <c r="D5" s="39" t="s">
        <v>57</v>
      </c>
      <c r="E5" s="39" t="s">
        <v>58</v>
      </c>
      <c r="F5" s="39" t="s">
        <v>51</v>
      </c>
      <c r="G5" s="40" t="s">
        <v>52</v>
      </c>
      <c r="H5" s="40">
        <v>30063</v>
      </c>
      <c r="I5" s="42" t="s">
        <v>59</v>
      </c>
      <c r="J5" s="43" t="s">
        <v>60</v>
      </c>
      <c r="K5" s="71">
        <v>156340</v>
      </c>
      <c r="L5" s="23"/>
      <c r="M5" s="45"/>
      <c r="N5" s="46"/>
      <c r="O5" s="46"/>
      <c r="P5" s="46"/>
      <c r="Q5" s="46"/>
      <c r="R5" s="46"/>
      <c r="S5" s="46"/>
      <c r="T5" s="46"/>
      <c r="U5" s="46"/>
      <c r="V5" s="46"/>
      <c r="W5" s="46"/>
      <c r="X5" s="46"/>
      <c r="Y5" s="46"/>
      <c r="Z5" s="46"/>
      <c r="AA5" s="46"/>
      <c r="AB5" s="46"/>
      <c r="AC5" s="46"/>
      <c r="AD5" s="46"/>
      <c r="AE5" s="46"/>
      <c r="AF5" s="47"/>
      <c r="AG5" s="23"/>
      <c r="AH5" s="23"/>
    </row>
    <row r="6" spans="1:34" x14ac:dyDescent="0.25">
      <c r="A6" s="32">
        <v>3</v>
      </c>
      <c r="B6" s="32" t="str">
        <f t="shared" si="1"/>
        <v/>
      </c>
      <c r="C6" s="39" t="s">
        <v>61</v>
      </c>
      <c r="D6" s="42" t="s">
        <v>62</v>
      </c>
      <c r="E6" s="39" t="s">
        <v>63</v>
      </c>
      <c r="F6" s="39" t="s">
        <v>51</v>
      </c>
      <c r="G6" s="40" t="s">
        <v>52</v>
      </c>
      <c r="H6" s="40">
        <v>30064</v>
      </c>
      <c r="I6" s="42" t="s">
        <v>64</v>
      </c>
      <c r="J6" s="43" t="s">
        <v>65</v>
      </c>
      <c r="K6" s="71">
        <v>81480</v>
      </c>
      <c r="L6" s="23"/>
      <c r="M6" s="45"/>
      <c r="N6" s="48" t="s">
        <v>39</v>
      </c>
      <c r="O6" s="46"/>
      <c r="P6" s="46"/>
      <c r="Q6" s="49" t="str">
        <f>VLOOKUP("X",$B:$K,2,FALSE)</f>
        <v>Collins</v>
      </c>
      <c r="R6" s="50"/>
      <c r="S6" s="50"/>
      <c r="T6" s="50"/>
      <c r="U6" s="50"/>
      <c r="V6" s="51"/>
      <c r="W6" s="46"/>
      <c r="X6" s="52" t="s">
        <v>42</v>
      </c>
      <c r="Y6" s="46"/>
      <c r="Z6" s="49" t="str">
        <f>VLOOKUP("X",$B:$K,5,FALSE)</f>
        <v>Norcross</v>
      </c>
      <c r="AA6" s="50"/>
      <c r="AB6" s="50"/>
      <c r="AC6" s="50"/>
      <c r="AD6" s="50"/>
      <c r="AE6" s="51"/>
      <c r="AF6" s="47"/>
      <c r="AG6" s="23"/>
      <c r="AH6" s="23"/>
    </row>
    <row r="7" spans="1:34" x14ac:dyDescent="0.25">
      <c r="A7" s="32">
        <v>4</v>
      </c>
      <c r="B7" s="32" t="str">
        <f t="shared" si="1"/>
        <v/>
      </c>
      <c r="C7" s="39" t="s">
        <v>66</v>
      </c>
      <c r="D7" s="42" t="s">
        <v>67</v>
      </c>
      <c r="E7" s="39" t="s">
        <v>68</v>
      </c>
      <c r="F7" s="39" t="s">
        <v>51</v>
      </c>
      <c r="G7" s="40" t="s">
        <v>52</v>
      </c>
      <c r="H7" s="40">
        <v>30065</v>
      </c>
      <c r="I7" s="42" t="s">
        <v>69</v>
      </c>
      <c r="J7" s="43" t="s">
        <v>54</v>
      </c>
      <c r="K7" s="71">
        <v>202578</v>
      </c>
      <c r="L7" s="23"/>
      <c r="M7" s="45"/>
      <c r="N7" s="46"/>
      <c r="O7" s="46"/>
      <c r="P7" s="46"/>
      <c r="Q7" s="46"/>
      <c r="R7" s="46"/>
      <c r="S7" s="46"/>
      <c r="T7" s="46"/>
      <c r="U7" s="46"/>
      <c r="V7" s="46"/>
      <c r="W7" s="46"/>
      <c r="X7" s="46"/>
      <c r="Y7" s="46"/>
      <c r="Z7" s="46"/>
      <c r="AA7" s="46"/>
      <c r="AB7" s="46"/>
      <c r="AC7" s="46"/>
      <c r="AD7" s="46"/>
      <c r="AE7" s="46"/>
      <c r="AF7" s="47"/>
      <c r="AG7" s="23"/>
      <c r="AH7" s="23"/>
    </row>
    <row r="8" spans="1:34" x14ac:dyDescent="0.25">
      <c r="A8" s="32">
        <v>5</v>
      </c>
      <c r="B8" s="32" t="str">
        <f t="shared" si="1"/>
        <v/>
      </c>
      <c r="C8" s="42" t="s">
        <v>70</v>
      </c>
      <c r="D8" s="39" t="s">
        <v>71</v>
      </c>
      <c r="E8" s="39" t="s">
        <v>72</v>
      </c>
      <c r="F8" s="39" t="s">
        <v>51</v>
      </c>
      <c r="G8" s="40" t="s">
        <v>52</v>
      </c>
      <c r="H8" s="40">
        <v>30066</v>
      </c>
      <c r="I8" s="42" t="s">
        <v>73</v>
      </c>
      <c r="J8" s="43" t="s">
        <v>60</v>
      </c>
      <c r="K8" s="71">
        <v>177209</v>
      </c>
      <c r="L8" s="23"/>
      <c r="M8" s="45"/>
      <c r="N8" s="48" t="s">
        <v>40</v>
      </c>
      <c r="O8" s="46"/>
      <c r="P8" s="46"/>
      <c r="Q8" s="49" t="str">
        <f>VLOOKUP("X",$B:$K,3,FALSE)</f>
        <v>Carlton</v>
      </c>
      <c r="R8" s="50"/>
      <c r="S8" s="50"/>
      <c r="T8" s="50"/>
      <c r="U8" s="50"/>
      <c r="V8" s="51"/>
      <c r="W8" s="46"/>
      <c r="X8" s="52" t="s">
        <v>43</v>
      </c>
      <c r="Y8" s="46"/>
      <c r="Z8" s="49" t="str">
        <f>VLOOKUP("X",$B:$K,6,FALSE)</f>
        <v xml:space="preserve">GA </v>
      </c>
      <c r="AA8" s="50"/>
      <c r="AB8" s="50"/>
      <c r="AC8" s="50"/>
      <c r="AD8" s="50"/>
      <c r="AE8" s="51"/>
      <c r="AF8" s="47"/>
      <c r="AG8" s="23"/>
      <c r="AH8" s="23"/>
    </row>
    <row r="9" spans="1:34" x14ac:dyDescent="0.25">
      <c r="A9" s="32">
        <v>6</v>
      </c>
      <c r="B9" s="32" t="str">
        <f t="shared" si="1"/>
        <v/>
      </c>
      <c r="C9" s="39" t="s">
        <v>74</v>
      </c>
      <c r="D9" s="39" t="s">
        <v>75</v>
      </c>
      <c r="E9" s="39" t="s">
        <v>76</v>
      </c>
      <c r="F9" s="39" t="s">
        <v>77</v>
      </c>
      <c r="G9" s="40" t="s">
        <v>52</v>
      </c>
      <c r="H9" s="40">
        <v>30092</v>
      </c>
      <c r="I9" s="42" t="s">
        <v>78</v>
      </c>
      <c r="J9" s="43" t="s">
        <v>65</v>
      </c>
      <c r="K9" s="71">
        <v>212254.23</v>
      </c>
      <c r="L9" s="23"/>
      <c r="M9" s="45"/>
      <c r="N9" s="46"/>
      <c r="O9" s="46"/>
      <c r="P9" s="46"/>
      <c r="Q9" s="46"/>
      <c r="R9" s="46"/>
      <c r="S9" s="46"/>
      <c r="T9" s="46"/>
      <c r="U9" s="46"/>
      <c r="V9" s="46"/>
      <c r="W9" s="46"/>
      <c r="X9" s="46"/>
      <c r="Y9" s="46"/>
      <c r="Z9" s="46"/>
      <c r="AA9" s="46"/>
      <c r="AB9" s="46"/>
      <c r="AC9" s="46"/>
      <c r="AD9" s="46"/>
      <c r="AE9" s="46"/>
      <c r="AF9" s="47"/>
      <c r="AG9" s="23"/>
      <c r="AH9" s="23"/>
    </row>
    <row r="10" spans="1:34" x14ac:dyDescent="0.25">
      <c r="A10" s="32">
        <v>7</v>
      </c>
      <c r="B10" s="32" t="str">
        <f t="shared" si="1"/>
        <v>X</v>
      </c>
      <c r="C10" s="39" t="s">
        <v>79</v>
      </c>
      <c r="D10" s="39" t="s">
        <v>80</v>
      </c>
      <c r="E10" s="39" t="s">
        <v>50</v>
      </c>
      <c r="F10" s="39" t="s">
        <v>81</v>
      </c>
      <c r="G10" s="40" t="s">
        <v>82</v>
      </c>
      <c r="H10" s="40">
        <v>30092</v>
      </c>
      <c r="I10" s="42" t="s">
        <v>53</v>
      </c>
      <c r="J10" s="43" t="s">
        <v>54</v>
      </c>
      <c r="K10" s="71">
        <v>124533.45</v>
      </c>
      <c r="L10" s="23"/>
      <c r="M10" s="45"/>
      <c r="N10" s="48" t="s">
        <v>41</v>
      </c>
      <c r="O10" s="46"/>
      <c r="P10" s="46"/>
      <c r="Q10" s="49" t="str">
        <f>VLOOKUP("X",$B:$K,4,FALSE)</f>
        <v>100 Peachtree Street</v>
      </c>
      <c r="R10" s="50"/>
      <c r="S10" s="50"/>
      <c r="T10" s="50"/>
      <c r="U10" s="50"/>
      <c r="V10" s="51"/>
      <c r="W10" s="46"/>
      <c r="X10" s="52" t="s">
        <v>44</v>
      </c>
      <c r="Y10" s="46"/>
      <c r="Z10" s="306">
        <f>VLOOKUP("X",$B:$K,7,FALSE)</f>
        <v>30092</v>
      </c>
      <c r="AA10" s="314"/>
      <c r="AB10" s="314"/>
      <c r="AC10" s="50"/>
      <c r="AD10" s="50"/>
      <c r="AE10" s="51"/>
      <c r="AF10" s="47"/>
      <c r="AG10" s="23"/>
      <c r="AH10" s="23"/>
    </row>
    <row r="11" spans="1:34" x14ac:dyDescent="0.25">
      <c r="A11" s="32">
        <v>8</v>
      </c>
      <c r="B11" s="32" t="str">
        <f t="shared" si="1"/>
        <v>X</v>
      </c>
      <c r="C11" s="39"/>
      <c r="D11" s="39"/>
      <c r="E11" s="39"/>
      <c r="F11" s="39"/>
      <c r="G11" s="39"/>
      <c r="H11" s="39"/>
      <c r="I11" s="39"/>
      <c r="J11" s="40"/>
      <c r="K11" s="39"/>
      <c r="L11" s="23"/>
      <c r="M11" s="45"/>
      <c r="N11" s="46"/>
      <c r="O11" s="46"/>
      <c r="P11" s="46"/>
      <c r="Q11" s="46"/>
      <c r="R11" s="46"/>
      <c r="S11" s="46"/>
      <c r="T11" s="46"/>
      <c r="U11" s="46"/>
      <c r="V11" s="46"/>
      <c r="W11" s="46"/>
      <c r="X11" s="46"/>
      <c r="Y11" s="46"/>
      <c r="Z11" s="46"/>
      <c r="AA11" s="46"/>
      <c r="AB11" s="46"/>
      <c r="AC11" s="46"/>
      <c r="AD11" s="46"/>
      <c r="AE11" s="46"/>
      <c r="AF11" s="47"/>
      <c r="AG11" s="23"/>
      <c r="AH11" s="23"/>
    </row>
    <row r="12" spans="1:34" x14ac:dyDescent="0.25">
      <c r="A12" s="32">
        <v>9</v>
      </c>
      <c r="B12" s="32" t="str">
        <f t="shared" si="1"/>
        <v>X</v>
      </c>
      <c r="C12" s="39"/>
      <c r="D12" s="39"/>
      <c r="E12" s="39"/>
      <c r="F12" s="39"/>
      <c r="G12" s="39"/>
      <c r="H12" s="39"/>
      <c r="I12" s="39"/>
      <c r="J12" s="40"/>
      <c r="K12" s="39"/>
      <c r="L12" s="23"/>
      <c r="M12" s="45"/>
      <c r="N12" s="52" t="s">
        <v>45</v>
      </c>
      <c r="O12" s="46"/>
      <c r="P12" s="46"/>
      <c r="Q12" s="49" t="str">
        <f>VLOOKUP("X",$B:$K,8,FALSE)</f>
        <v>770.842.5902</v>
      </c>
      <c r="R12" s="50"/>
      <c r="S12" s="50"/>
      <c r="T12" s="50"/>
      <c r="U12" s="50"/>
      <c r="V12" s="51"/>
      <c r="W12" s="46"/>
      <c r="X12" s="60" t="s">
        <v>99</v>
      </c>
      <c r="Y12" s="46"/>
      <c r="Z12" s="49" t="str">
        <f>VLOOKUP("X",$B:$K,9,FALSE)</f>
        <v>Plan A</v>
      </c>
      <c r="AA12" s="50"/>
      <c r="AB12" s="50"/>
      <c r="AC12" s="50"/>
      <c r="AD12" s="50"/>
      <c r="AE12" s="51"/>
      <c r="AF12" s="47"/>
      <c r="AG12" s="23"/>
      <c r="AH12" s="23"/>
    </row>
    <row r="13" spans="1:34" x14ac:dyDescent="0.25">
      <c r="A13" s="32">
        <v>10</v>
      </c>
      <c r="B13" s="32" t="str">
        <f t="shared" si="1"/>
        <v>X</v>
      </c>
      <c r="C13" s="39"/>
      <c r="D13" s="39"/>
      <c r="E13" s="39"/>
      <c r="F13" s="39"/>
      <c r="G13" s="39"/>
      <c r="H13" s="39"/>
      <c r="I13" s="39"/>
      <c r="J13" s="40"/>
      <c r="K13" s="39"/>
      <c r="L13" s="23"/>
      <c r="M13" s="45"/>
      <c r="N13" s="46"/>
      <c r="O13" s="46"/>
      <c r="P13" s="46"/>
      <c r="Q13" s="46"/>
      <c r="R13" s="46"/>
      <c r="S13" s="46"/>
      <c r="T13" s="46"/>
      <c r="U13" s="46"/>
      <c r="V13" s="46"/>
      <c r="W13" s="46"/>
      <c r="X13" s="46"/>
      <c r="Y13" s="46"/>
      <c r="Z13" s="46"/>
      <c r="AA13" s="46"/>
      <c r="AB13" s="46"/>
      <c r="AC13" s="46"/>
      <c r="AD13" s="46"/>
      <c r="AE13" s="46"/>
      <c r="AF13" s="47"/>
      <c r="AG13" s="23"/>
      <c r="AH13" s="23"/>
    </row>
    <row r="14" spans="1:34" x14ac:dyDescent="0.25">
      <c r="A14" s="32">
        <v>11</v>
      </c>
      <c r="B14" s="32" t="str">
        <f t="shared" si="1"/>
        <v>X</v>
      </c>
      <c r="C14" s="39"/>
      <c r="D14" s="39"/>
      <c r="E14" s="39"/>
      <c r="F14" s="39"/>
      <c r="G14" s="39"/>
      <c r="H14" s="39"/>
      <c r="I14" s="39"/>
      <c r="J14" s="40"/>
      <c r="K14" s="39"/>
      <c r="L14" s="23"/>
      <c r="M14" s="45"/>
      <c r="N14" s="52" t="s">
        <v>90</v>
      </c>
      <c r="O14" s="46"/>
      <c r="P14" s="46"/>
      <c r="Q14" s="46"/>
      <c r="R14" s="46"/>
      <c r="S14" s="46"/>
      <c r="T14" s="46"/>
      <c r="U14" s="46"/>
      <c r="V14" s="46"/>
      <c r="W14" s="46"/>
      <c r="X14" s="46"/>
      <c r="Y14" s="46"/>
      <c r="Z14" s="359">
        <f>VLOOKUP("X",$B:$K,10,FALSE)</f>
        <v>124533.45</v>
      </c>
      <c r="AA14" s="332"/>
      <c r="AB14" s="332"/>
      <c r="AC14" s="332"/>
      <c r="AD14" s="173"/>
      <c r="AE14" s="174"/>
      <c r="AF14" s="47"/>
      <c r="AG14" s="23"/>
      <c r="AH14" s="23"/>
    </row>
    <row r="15" spans="1:34" x14ac:dyDescent="0.25">
      <c r="A15" s="32">
        <v>12</v>
      </c>
      <c r="B15" s="32" t="str">
        <f t="shared" si="1"/>
        <v>X</v>
      </c>
      <c r="C15" s="39"/>
      <c r="D15" s="39"/>
      <c r="E15" s="39"/>
      <c r="F15" s="39"/>
      <c r="G15" s="39"/>
      <c r="H15" s="39"/>
      <c r="I15" s="39"/>
      <c r="J15" s="40"/>
      <c r="K15" s="39"/>
      <c r="L15" s="23"/>
      <c r="M15" s="45"/>
      <c r="N15" s="46"/>
      <c r="O15" s="46"/>
      <c r="P15" s="46"/>
      <c r="Q15" s="46"/>
      <c r="R15" s="46"/>
      <c r="S15" s="46"/>
      <c r="T15" s="46"/>
      <c r="U15" s="46"/>
      <c r="V15" s="46"/>
      <c r="W15" s="46"/>
      <c r="X15" s="46"/>
      <c r="Y15" s="46"/>
      <c r="Z15" s="46"/>
      <c r="AA15" s="46"/>
      <c r="AB15" s="46"/>
      <c r="AC15" s="46"/>
      <c r="AD15" s="46"/>
      <c r="AE15" s="46"/>
      <c r="AF15" s="47"/>
      <c r="AG15" s="23"/>
      <c r="AH15" s="23"/>
    </row>
    <row r="16" spans="1:34" x14ac:dyDescent="0.25">
      <c r="A16" s="32">
        <v>13</v>
      </c>
      <c r="B16" s="32" t="str">
        <f t="shared" si="1"/>
        <v>X</v>
      </c>
      <c r="C16" s="39"/>
      <c r="D16" s="39"/>
      <c r="E16" s="39"/>
      <c r="F16" s="39"/>
      <c r="G16" s="39"/>
      <c r="H16" s="39"/>
      <c r="I16" s="39"/>
      <c r="J16" s="40"/>
      <c r="K16" s="39"/>
      <c r="L16" s="23"/>
      <c r="M16" s="303" t="s">
        <v>91</v>
      </c>
      <c r="N16" s="304"/>
      <c r="O16" s="304"/>
      <c r="P16" s="304"/>
      <c r="Q16" s="304"/>
      <c r="R16" s="304"/>
      <c r="S16" s="304"/>
      <c r="T16" s="304"/>
      <c r="U16" s="304"/>
      <c r="V16" s="304"/>
      <c r="W16" s="304"/>
      <c r="X16" s="304"/>
      <c r="Y16" s="304"/>
      <c r="Z16" s="304"/>
      <c r="AA16" s="304"/>
      <c r="AB16" s="304"/>
      <c r="AC16" s="304"/>
      <c r="AD16" s="304"/>
      <c r="AE16" s="304"/>
      <c r="AF16" s="305"/>
      <c r="AG16" s="23"/>
      <c r="AH16" s="23"/>
    </row>
    <row r="17" spans="1:34" ht="16.5" thickBot="1" x14ac:dyDescent="0.3">
      <c r="A17" s="32">
        <v>14</v>
      </c>
      <c r="B17" s="32" t="str">
        <f t="shared" si="1"/>
        <v>X</v>
      </c>
      <c r="C17" s="39"/>
      <c r="D17" s="39"/>
      <c r="E17" s="39"/>
      <c r="F17" s="39"/>
      <c r="G17" s="39"/>
      <c r="H17" s="39"/>
      <c r="I17" s="39"/>
      <c r="J17" s="40"/>
      <c r="K17" s="39"/>
      <c r="L17" s="23"/>
      <c r="M17" s="61"/>
      <c r="N17" s="62"/>
      <c r="O17" s="62"/>
      <c r="P17" s="62"/>
      <c r="Q17" s="62"/>
      <c r="R17" s="62"/>
      <c r="S17" s="62"/>
      <c r="T17" s="62"/>
      <c r="U17" s="62"/>
      <c r="V17" s="62"/>
      <c r="W17" s="62"/>
      <c r="X17" s="62"/>
      <c r="Y17" s="62"/>
      <c r="Z17" s="62"/>
      <c r="AA17" s="62"/>
      <c r="AB17" s="62"/>
      <c r="AC17" s="62"/>
      <c r="AD17" s="62"/>
      <c r="AE17" s="62"/>
      <c r="AF17" s="63"/>
      <c r="AG17" s="23"/>
      <c r="AH17" s="23"/>
    </row>
    <row r="18" spans="1:34" x14ac:dyDescent="0.25">
      <c r="A18" s="32">
        <v>15</v>
      </c>
      <c r="B18" s="32" t="str">
        <f t="shared" si="1"/>
        <v>X</v>
      </c>
      <c r="C18" s="39"/>
      <c r="D18" s="39"/>
      <c r="E18" s="39"/>
      <c r="F18" s="39"/>
      <c r="G18" s="39"/>
      <c r="H18" s="39"/>
      <c r="I18" s="39"/>
      <c r="J18" s="40"/>
      <c r="K18" s="39"/>
      <c r="L18" s="23"/>
      <c r="M18" s="23"/>
      <c r="N18" s="23"/>
      <c r="O18" s="23"/>
      <c r="P18" s="23"/>
      <c r="Q18" s="23"/>
      <c r="R18" s="23"/>
      <c r="S18" s="23"/>
      <c r="T18" s="23"/>
      <c r="U18" s="23"/>
      <c r="V18" s="23"/>
      <c r="W18" s="23"/>
      <c r="X18" s="23"/>
      <c r="Y18" s="23"/>
      <c r="Z18" s="23"/>
      <c r="AA18" s="23"/>
      <c r="AB18" s="23"/>
      <c r="AC18" s="23"/>
      <c r="AD18" s="23"/>
      <c r="AE18" s="23"/>
      <c r="AF18" s="23"/>
      <c r="AG18" s="23"/>
      <c r="AH18" s="23"/>
    </row>
    <row r="19" spans="1:34" x14ac:dyDescent="0.25">
      <c r="A19" s="32">
        <v>16</v>
      </c>
      <c r="B19" s="32" t="str">
        <f t="shared" si="1"/>
        <v>X</v>
      </c>
      <c r="C19" s="39"/>
      <c r="D19" s="39"/>
      <c r="E19" s="39"/>
      <c r="F19" s="39"/>
      <c r="G19" s="39"/>
      <c r="H19" s="39"/>
      <c r="I19" s="39"/>
      <c r="J19" s="40"/>
      <c r="K19" s="39"/>
      <c r="L19" s="23"/>
      <c r="M19" s="23"/>
      <c r="N19" s="23"/>
      <c r="O19" s="23"/>
      <c r="P19" s="23"/>
      <c r="Q19" s="23"/>
      <c r="R19" s="23"/>
      <c r="S19" s="23"/>
      <c r="T19" s="23"/>
      <c r="U19" s="23"/>
      <c r="V19" s="23"/>
      <c r="W19" s="23"/>
      <c r="X19" s="23"/>
      <c r="Y19" s="23"/>
      <c r="Z19" s="23"/>
      <c r="AA19" s="23"/>
      <c r="AB19" s="23"/>
      <c r="AC19" s="23"/>
      <c r="AD19" s="23"/>
      <c r="AE19" s="23"/>
      <c r="AF19" s="23"/>
      <c r="AG19" s="23"/>
      <c r="AH19" s="23"/>
    </row>
    <row r="20" spans="1:34" x14ac:dyDescent="0.25">
      <c r="A20" s="32">
        <v>17</v>
      </c>
      <c r="B20" s="32" t="str">
        <f t="shared" si="1"/>
        <v>X</v>
      </c>
      <c r="C20" s="39"/>
      <c r="D20" s="39"/>
      <c r="E20" s="39"/>
      <c r="F20" s="39"/>
      <c r="G20" s="39"/>
      <c r="H20" s="39"/>
      <c r="I20" s="39"/>
      <c r="J20" s="40"/>
      <c r="K20" s="39"/>
      <c r="L20" s="23"/>
      <c r="M20" s="23"/>
      <c r="N20" s="23"/>
      <c r="O20" s="23"/>
      <c r="P20" s="23"/>
      <c r="Q20" s="23"/>
      <c r="R20" s="23"/>
      <c r="S20" s="23"/>
      <c r="T20" s="23"/>
      <c r="U20" s="23"/>
      <c r="V20" s="23"/>
      <c r="W20" s="23"/>
      <c r="X20" s="23"/>
      <c r="Y20" s="23"/>
      <c r="Z20" s="23"/>
      <c r="AA20" s="23"/>
      <c r="AB20" s="23"/>
      <c r="AC20" s="23"/>
      <c r="AD20" s="23"/>
      <c r="AE20" s="23"/>
      <c r="AF20" s="23"/>
      <c r="AG20" s="23"/>
      <c r="AH20" s="23"/>
    </row>
    <row r="21" spans="1:34" x14ac:dyDescent="0.25">
      <c r="A21" s="32">
        <v>18</v>
      </c>
      <c r="B21" s="32" t="str">
        <f t="shared" si="1"/>
        <v>X</v>
      </c>
      <c r="C21" s="39"/>
      <c r="D21" s="39"/>
      <c r="E21" s="39"/>
      <c r="F21" s="39"/>
      <c r="G21" s="39"/>
      <c r="H21" s="39"/>
      <c r="I21" s="39"/>
      <c r="J21" s="40"/>
      <c r="K21" s="39"/>
      <c r="L21" s="23"/>
      <c r="M21" s="23"/>
      <c r="N21" s="23"/>
      <c r="O21" s="23"/>
      <c r="P21" s="23"/>
      <c r="Q21" s="23"/>
      <c r="R21" s="23"/>
      <c r="S21" s="23"/>
      <c r="T21" s="23"/>
      <c r="U21" s="23"/>
      <c r="V21" s="23"/>
      <c r="W21" s="23"/>
      <c r="X21" s="23"/>
      <c r="Y21" s="23"/>
      <c r="Z21" s="23"/>
      <c r="AA21" s="23"/>
      <c r="AB21" s="23"/>
      <c r="AC21" s="23"/>
      <c r="AD21" s="23"/>
      <c r="AE21" s="23"/>
      <c r="AF21" s="23"/>
      <c r="AG21" s="23"/>
      <c r="AH21" s="23"/>
    </row>
    <row r="22" spans="1:34" x14ac:dyDescent="0.25">
      <c r="A22" s="32">
        <v>19</v>
      </c>
      <c r="B22" s="32" t="str">
        <f t="shared" si="1"/>
        <v>X</v>
      </c>
      <c r="C22" s="39"/>
      <c r="D22" s="39"/>
      <c r="E22" s="39"/>
      <c r="F22" s="39"/>
      <c r="G22" s="39"/>
      <c r="H22" s="39"/>
      <c r="I22" s="39"/>
      <c r="J22" s="40"/>
      <c r="K22" s="39"/>
      <c r="L22" s="23"/>
      <c r="M22" s="23"/>
      <c r="N22" s="23"/>
      <c r="O22" s="23"/>
      <c r="P22" s="23"/>
      <c r="Q22" s="23"/>
      <c r="R22" s="23"/>
      <c r="S22" s="23"/>
      <c r="T22" s="23"/>
      <c r="U22" s="23"/>
      <c r="V22" s="23"/>
      <c r="W22" s="23"/>
      <c r="X22" s="23"/>
      <c r="Y22" s="23"/>
      <c r="Z22" s="23"/>
      <c r="AA22" s="23"/>
      <c r="AB22" s="23"/>
      <c r="AC22" s="23"/>
      <c r="AD22" s="23"/>
      <c r="AE22" s="23"/>
      <c r="AF22" s="23"/>
      <c r="AG22" s="23"/>
      <c r="AH22" s="23"/>
    </row>
    <row r="23" spans="1:34" x14ac:dyDescent="0.25">
      <c r="A23" s="32">
        <v>20</v>
      </c>
      <c r="B23" s="32" t="str">
        <f t="shared" si="1"/>
        <v>X</v>
      </c>
      <c r="C23" s="39"/>
      <c r="D23" s="39"/>
      <c r="E23" s="39"/>
      <c r="F23" s="39"/>
      <c r="G23" s="39"/>
      <c r="H23" s="39"/>
      <c r="I23" s="39"/>
      <c r="J23" s="40"/>
      <c r="K23" s="39"/>
      <c r="L23" s="23"/>
      <c r="M23" s="23"/>
      <c r="N23" s="23"/>
      <c r="O23" s="23"/>
      <c r="P23" s="23"/>
      <c r="Q23" s="23"/>
      <c r="R23" s="23"/>
      <c r="S23" s="23"/>
      <c r="T23" s="23"/>
      <c r="U23" s="23"/>
      <c r="V23" s="23"/>
      <c r="W23" s="23"/>
      <c r="X23" s="23"/>
      <c r="Y23" s="23"/>
      <c r="Z23" s="23"/>
      <c r="AA23" s="23"/>
      <c r="AB23" s="23"/>
      <c r="AC23" s="23"/>
      <c r="AD23" s="23"/>
      <c r="AE23" s="23"/>
      <c r="AF23" s="23"/>
      <c r="AG23" s="23"/>
      <c r="AH23" s="23"/>
    </row>
    <row r="24" spans="1:34" x14ac:dyDescent="0.25">
      <c r="A24" s="32">
        <v>21</v>
      </c>
      <c r="B24" s="32" t="str">
        <f t="shared" si="1"/>
        <v>X</v>
      </c>
      <c r="C24" s="39"/>
      <c r="D24" s="39"/>
      <c r="E24" s="39"/>
      <c r="F24" s="39"/>
      <c r="G24" s="39"/>
      <c r="H24" s="39"/>
      <c r="I24" s="39"/>
      <c r="J24" s="40"/>
      <c r="K24" s="39"/>
      <c r="L24" s="23"/>
      <c r="M24" s="23"/>
      <c r="N24" s="23"/>
      <c r="O24" s="23"/>
      <c r="P24" s="23"/>
      <c r="Q24" s="23"/>
      <c r="R24" s="23"/>
      <c r="S24" s="23"/>
      <c r="T24" s="23"/>
      <c r="U24" s="23"/>
      <c r="V24" s="23"/>
      <c r="W24" s="23"/>
      <c r="X24" s="23"/>
      <c r="Y24" s="23"/>
      <c r="Z24" s="23"/>
      <c r="AA24" s="23"/>
      <c r="AB24" s="23"/>
      <c r="AC24" s="23"/>
      <c r="AD24" s="23"/>
      <c r="AE24" s="23"/>
      <c r="AF24" s="23"/>
      <c r="AG24" s="23"/>
      <c r="AH24" s="23"/>
    </row>
    <row r="25" spans="1:34" x14ac:dyDescent="0.25">
      <c r="A25" s="32">
        <v>22</v>
      </c>
      <c r="B25" s="32" t="str">
        <f t="shared" si="1"/>
        <v>X</v>
      </c>
      <c r="C25" s="39"/>
      <c r="D25" s="39"/>
      <c r="E25" s="39"/>
      <c r="F25" s="39"/>
      <c r="G25" s="39"/>
      <c r="H25" s="39"/>
      <c r="I25" s="39"/>
      <c r="J25" s="40"/>
      <c r="K25" s="39"/>
      <c r="L25" s="23"/>
      <c r="M25" s="23"/>
      <c r="N25" s="23"/>
      <c r="O25" s="23"/>
      <c r="P25" s="23"/>
      <c r="Q25" s="23"/>
      <c r="R25" s="23"/>
      <c r="S25" s="23"/>
      <c r="T25" s="23"/>
      <c r="U25" s="23"/>
      <c r="V25" s="23"/>
      <c r="W25" s="23"/>
      <c r="X25" s="23"/>
      <c r="Y25" s="23"/>
      <c r="Z25" s="23"/>
      <c r="AA25" s="23"/>
      <c r="AB25" s="23"/>
      <c r="AC25" s="23"/>
      <c r="AD25" s="23"/>
      <c r="AE25" s="23"/>
      <c r="AF25" s="23"/>
      <c r="AG25" s="23"/>
      <c r="AH25" s="23"/>
    </row>
    <row r="26" spans="1:34" x14ac:dyDescent="0.25">
      <c r="A26" s="32">
        <v>23</v>
      </c>
      <c r="B26" s="32" t="str">
        <f t="shared" si="1"/>
        <v>X</v>
      </c>
      <c r="C26" s="39"/>
      <c r="D26" s="39"/>
      <c r="E26" s="39"/>
      <c r="F26" s="39"/>
      <c r="G26" s="39"/>
      <c r="H26" s="39"/>
      <c r="I26" s="39"/>
      <c r="J26" s="40"/>
      <c r="K26" s="39"/>
      <c r="L26" s="23"/>
      <c r="M26" s="23"/>
      <c r="N26" s="23"/>
      <c r="O26" s="23"/>
      <c r="P26" s="23"/>
      <c r="Q26" s="23"/>
      <c r="R26" s="23"/>
      <c r="S26" s="23"/>
      <c r="T26" s="23"/>
      <c r="U26" s="23"/>
      <c r="V26" s="23"/>
      <c r="W26" s="23"/>
      <c r="X26" s="23"/>
      <c r="Y26" s="23"/>
      <c r="Z26" s="23"/>
      <c r="AA26" s="23"/>
      <c r="AB26" s="23"/>
      <c r="AC26" s="23"/>
      <c r="AD26" s="23"/>
      <c r="AE26" s="23"/>
      <c r="AF26" s="23"/>
      <c r="AG26" s="23"/>
      <c r="AH26" s="23"/>
    </row>
    <row r="27" spans="1:34" x14ac:dyDescent="0.25">
      <c r="A27" s="32">
        <v>24</v>
      </c>
      <c r="B27" s="32" t="str">
        <f t="shared" si="1"/>
        <v>X</v>
      </c>
      <c r="C27" s="39"/>
      <c r="D27" s="39"/>
      <c r="E27" s="39"/>
      <c r="F27" s="39"/>
      <c r="G27" s="39"/>
      <c r="H27" s="39"/>
      <c r="I27" s="39"/>
      <c r="J27" s="40"/>
      <c r="K27" s="39"/>
      <c r="L27" s="23"/>
      <c r="M27" s="23"/>
      <c r="N27" s="23"/>
      <c r="O27" s="23"/>
      <c r="P27" s="23"/>
      <c r="Q27" s="23"/>
      <c r="R27" s="23"/>
      <c r="S27" s="23"/>
      <c r="T27" s="23"/>
      <c r="U27" s="23"/>
      <c r="V27" s="23"/>
      <c r="W27" s="23"/>
      <c r="X27" s="23"/>
      <c r="Y27" s="23"/>
      <c r="Z27" s="23"/>
      <c r="AA27" s="23"/>
      <c r="AB27" s="23"/>
      <c r="AC27" s="23"/>
      <c r="AD27" s="23"/>
      <c r="AE27" s="23"/>
      <c r="AF27" s="23"/>
      <c r="AG27" s="23"/>
      <c r="AH27" s="23"/>
    </row>
    <row r="28" spans="1:34" x14ac:dyDescent="0.25">
      <c r="A28" s="32">
        <v>25</v>
      </c>
      <c r="B28" s="32" t="str">
        <f t="shared" si="1"/>
        <v>X</v>
      </c>
      <c r="C28" s="39"/>
      <c r="D28" s="39"/>
      <c r="E28" s="39"/>
      <c r="F28" s="39"/>
      <c r="G28" s="39"/>
      <c r="H28" s="39"/>
      <c r="I28" s="39"/>
      <c r="J28" s="40"/>
      <c r="K28" s="39"/>
      <c r="L28" s="23"/>
      <c r="M28" s="23"/>
      <c r="N28" s="23"/>
      <c r="O28" s="23"/>
      <c r="P28" s="23"/>
      <c r="Q28" s="23"/>
      <c r="R28" s="23"/>
      <c r="S28" s="23"/>
      <c r="T28" s="23"/>
      <c r="U28" s="23"/>
      <c r="V28" s="23"/>
      <c r="W28" s="23"/>
      <c r="X28" s="23"/>
      <c r="Y28" s="23"/>
      <c r="Z28" s="23"/>
      <c r="AA28" s="23"/>
      <c r="AB28" s="23"/>
      <c r="AC28" s="23"/>
      <c r="AD28" s="23"/>
      <c r="AE28" s="23"/>
      <c r="AF28" s="23"/>
      <c r="AG28" s="23"/>
      <c r="AH28" s="23"/>
    </row>
  </sheetData>
  <mergeCells count="4">
    <mergeCell ref="M4:AF4"/>
    <mergeCell ref="Z10:AB10"/>
    <mergeCell ref="Z14:AC14"/>
    <mergeCell ref="M16:AF16"/>
  </mergeCell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AF28"/>
  <sheetViews>
    <sheetView showGridLines="0" workbookViewId="0">
      <selection activeCell="Q1" sqref="Q1"/>
    </sheetView>
  </sheetViews>
  <sheetFormatPr defaultRowHeight="15.75" x14ac:dyDescent="0.25"/>
  <cols>
    <col min="1" max="1" width="7.875" bestFit="1" customWidth="1"/>
    <col min="2" max="3" width="10" bestFit="1" customWidth="1"/>
    <col min="4" max="4" width="19" bestFit="1" customWidth="1"/>
    <col min="5" max="5" width="8.375" bestFit="1" customWidth="1"/>
    <col min="6" max="6" width="5.375" bestFit="1" customWidth="1"/>
    <col min="7" max="7" width="5.875" bestFit="1" customWidth="1"/>
    <col min="8" max="8" width="11.875" bestFit="1" customWidth="1"/>
    <col min="9" max="9" width="11.875" customWidth="1"/>
    <col min="10" max="10" width="12.125" bestFit="1" customWidth="1"/>
    <col min="11" max="11" width="3.75" customWidth="1"/>
    <col min="12" max="31" width="3.625" customWidth="1"/>
    <col min="32" max="32" width="3" customWidth="1"/>
  </cols>
  <sheetData>
    <row r="1" spans="1:32" x14ac:dyDescent="0.25">
      <c r="A1" s="16"/>
      <c r="B1" s="16"/>
      <c r="C1" s="16"/>
      <c r="D1" s="16"/>
      <c r="E1" s="16"/>
      <c r="F1" s="16"/>
      <c r="G1" s="16"/>
      <c r="H1" s="16"/>
      <c r="I1" s="16"/>
      <c r="J1" s="16"/>
      <c r="K1" s="16"/>
      <c r="L1" s="16"/>
      <c r="M1" s="16"/>
      <c r="N1" s="16"/>
      <c r="O1" s="16"/>
      <c r="P1" s="16"/>
      <c r="Q1" s="16"/>
      <c r="R1" s="16"/>
      <c r="S1" s="17" t="str">
        <f t="shared" ref="S1:AB1" si="0">VLOOKUP(MAX($A$3:$A$53),$A$3:$H$53,2)</f>
        <v>Collins</v>
      </c>
      <c r="T1" s="17" t="str">
        <f t="shared" si="0"/>
        <v>Collins</v>
      </c>
      <c r="U1" s="17" t="str">
        <f t="shared" si="0"/>
        <v>Collins</v>
      </c>
      <c r="V1" s="17" t="str">
        <f t="shared" si="0"/>
        <v>Collins</v>
      </c>
      <c r="W1" s="17" t="str">
        <f t="shared" si="0"/>
        <v>Collins</v>
      </c>
      <c r="X1" s="17" t="str">
        <f t="shared" si="0"/>
        <v>Collins</v>
      </c>
      <c r="Y1" s="17" t="str">
        <f t="shared" si="0"/>
        <v>Collins</v>
      </c>
      <c r="Z1" s="17" t="str">
        <f t="shared" si="0"/>
        <v>Collins</v>
      </c>
      <c r="AA1" s="17" t="str">
        <f t="shared" si="0"/>
        <v>Collins</v>
      </c>
      <c r="AB1" s="17" t="str">
        <f t="shared" si="0"/>
        <v>Collins</v>
      </c>
      <c r="AC1" s="18"/>
      <c r="AD1" s="18"/>
      <c r="AE1" s="18"/>
      <c r="AF1" s="18"/>
    </row>
    <row r="2" spans="1:32" ht="16.5" thickBot="1" x14ac:dyDescent="0.3">
      <c r="A2" s="73"/>
      <c r="B2" s="20"/>
      <c r="C2" s="20"/>
      <c r="D2" s="20"/>
      <c r="E2" s="20"/>
      <c r="F2" s="20"/>
      <c r="G2" s="20"/>
      <c r="H2" s="20"/>
      <c r="I2" s="22"/>
      <c r="J2" s="20"/>
      <c r="K2" s="23"/>
      <c r="L2" s="23"/>
      <c r="M2" s="23"/>
      <c r="N2" s="23"/>
      <c r="O2" s="23"/>
      <c r="P2" s="23"/>
      <c r="Q2" s="23"/>
      <c r="R2" s="23"/>
      <c r="S2" s="23"/>
      <c r="T2" s="23"/>
      <c r="U2" s="23"/>
      <c r="V2" s="23"/>
      <c r="W2" s="23"/>
      <c r="X2" s="23"/>
      <c r="Y2" s="23"/>
      <c r="Z2" s="23"/>
      <c r="AA2" s="23"/>
      <c r="AB2" s="23"/>
      <c r="AC2" s="23"/>
      <c r="AD2" s="23"/>
      <c r="AE2" s="23"/>
      <c r="AF2" s="23"/>
    </row>
    <row r="3" spans="1:32" x14ac:dyDescent="0.25">
      <c r="A3" s="26" t="s">
        <v>38</v>
      </c>
      <c r="B3" s="25" t="s">
        <v>39</v>
      </c>
      <c r="C3" s="25" t="s">
        <v>40</v>
      </c>
      <c r="D3" s="25" t="s">
        <v>41</v>
      </c>
      <c r="E3" s="26" t="s">
        <v>42</v>
      </c>
      <c r="F3" s="26" t="s">
        <v>43</v>
      </c>
      <c r="G3" s="26" t="s">
        <v>44</v>
      </c>
      <c r="H3" s="26" t="s">
        <v>45</v>
      </c>
      <c r="I3" s="26" t="s">
        <v>46</v>
      </c>
      <c r="J3" s="28" t="s">
        <v>47</v>
      </c>
      <c r="K3" s="23"/>
      <c r="L3" s="29"/>
      <c r="M3" s="30"/>
      <c r="N3" s="30"/>
      <c r="O3" s="30"/>
      <c r="P3" s="30"/>
      <c r="Q3" s="30"/>
      <c r="R3" s="30"/>
      <c r="S3" s="30"/>
      <c r="T3" s="30"/>
      <c r="U3" s="30"/>
      <c r="V3" s="30"/>
      <c r="W3" s="30"/>
      <c r="X3" s="30"/>
      <c r="Y3" s="30"/>
      <c r="Z3" s="30"/>
      <c r="AA3" s="30"/>
      <c r="AB3" s="30"/>
      <c r="AC3" s="30"/>
      <c r="AD3" s="30"/>
      <c r="AE3" s="31"/>
      <c r="AF3" s="23"/>
    </row>
    <row r="4" spans="1:32" x14ac:dyDescent="0.25">
      <c r="A4" s="32">
        <v>1</v>
      </c>
      <c r="B4" s="33" t="s">
        <v>48</v>
      </c>
      <c r="C4" s="34" t="s">
        <v>49</v>
      </c>
      <c r="D4" s="34" t="s">
        <v>50</v>
      </c>
      <c r="E4" s="34" t="s">
        <v>51</v>
      </c>
      <c r="F4" s="35" t="s">
        <v>52</v>
      </c>
      <c r="G4" s="35">
        <v>30062</v>
      </c>
      <c r="H4" s="33" t="s">
        <v>53</v>
      </c>
      <c r="I4" s="37" t="s">
        <v>54</v>
      </c>
      <c r="J4" s="38">
        <v>157665</v>
      </c>
      <c r="K4" s="23"/>
      <c r="L4" s="300" t="s">
        <v>55</v>
      </c>
      <c r="M4" s="301"/>
      <c r="N4" s="301"/>
      <c r="O4" s="301"/>
      <c r="P4" s="301"/>
      <c r="Q4" s="301"/>
      <c r="R4" s="301"/>
      <c r="S4" s="301"/>
      <c r="T4" s="301"/>
      <c r="U4" s="301"/>
      <c r="V4" s="301"/>
      <c r="W4" s="301"/>
      <c r="X4" s="301"/>
      <c r="Y4" s="301"/>
      <c r="Z4" s="301"/>
      <c r="AA4" s="301"/>
      <c r="AB4" s="301"/>
      <c r="AC4" s="301"/>
      <c r="AD4" s="301"/>
      <c r="AE4" s="302"/>
      <c r="AF4" s="23"/>
    </row>
    <row r="5" spans="1:32" x14ac:dyDescent="0.25">
      <c r="A5" s="32">
        <v>2</v>
      </c>
      <c r="B5" s="39" t="s">
        <v>56</v>
      </c>
      <c r="C5" s="39" t="s">
        <v>57</v>
      </c>
      <c r="D5" s="39" t="s">
        <v>58</v>
      </c>
      <c r="E5" s="39" t="s">
        <v>51</v>
      </c>
      <c r="F5" s="40" t="s">
        <v>52</v>
      </c>
      <c r="G5" s="40">
        <v>30063</v>
      </c>
      <c r="H5" s="42" t="s">
        <v>59</v>
      </c>
      <c r="I5" s="43" t="s">
        <v>60</v>
      </c>
      <c r="J5" s="44">
        <v>156340</v>
      </c>
      <c r="K5" s="23"/>
      <c r="L5" s="45"/>
      <c r="M5" s="46"/>
      <c r="N5" s="46"/>
      <c r="O5" s="46"/>
      <c r="P5" s="46"/>
      <c r="Q5" s="46"/>
      <c r="R5" s="46"/>
      <c r="S5" s="46"/>
      <c r="T5" s="46"/>
      <c r="U5" s="46"/>
      <c r="V5" s="46"/>
      <c r="W5" s="46"/>
      <c r="X5" s="46"/>
      <c r="Y5" s="46"/>
      <c r="Z5" s="46"/>
      <c r="AA5" s="46"/>
      <c r="AB5" s="46"/>
      <c r="AC5" s="46"/>
      <c r="AD5" s="46"/>
      <c r="AE5" s="47"/>
      <c r="AF5" s="23"/>
    </row>
    <row r="6" spans="1:32" x14ac:dyDescent="0.25">
      <c r="A6" s="32">
        <v>3</v>
      </c>
      <c r="B6" s="39" t="s">
        <v>61</v>
      </c>
      <c r="C6" s="42" t="s">
        <v>62</v>
      </c>
      <c r="D6" s="39" t="s">
        <v>63</v>
      </c>
      <c r="E6" s="39" t="s">
        <v>51</v>
      </c>
      <c r="F6" s="40" t="s">
        <v>52</v>
      </c>
      <c r="G6" s="40">
        <v>30064</v>
      </c>
      <c r="H6" s="42" t="s">
        <v>64</v>
      </c>
      <c r="I6" s="43" t="s">
        <v>65</v>
      </c>
      <c r="J6" s="44">
        <v>81480</v>
      </c>
      <c r="K6" s="23"/>
      <c r="L6" s="45"/>
      <c r="M6" s="48" t="s">
        <v>39</v>
      </c>
      <c r="N6" s="46"/>
      <c r="O6" s="46"/>
      <c r="P6" s="49" t="str">
        <f>VLOOKUP((COUNT(Table13[[#All],[Number]])),Table13[],2)</f>
        <v>Collins</v>
      </c>
      <c r="Q6" s="50"/>
      <c r="R6" s="50"/>
      <c r="S6" s="50"/>
      <c r="T6" s="50"/>
      <c r="U6" s="51"/>
      <c r="V6" s="46"/>
      <c r="W6" s="52" t="s">
        <v>42</v>
      </c>
      <c r="X6" s="46"/>
      <c r="Y6" s="49" t="str">
        <f>VLOOKUP((COUNT(Table13[[#All],[Number]])),Table13[],5)</f>
        <v>Norcross</v>
      </c>
      <c r="Z6" s="50"/>
      <c r="AA6" s="50"/>
      <c r="AB6" s="50"/>
      <c r="AC6" s="50"/>
      <c r="AD6" s="51"/>
      <c r="AE6" s="47"/>
      <c r="AF6" s="23"/>
    </row>
    <row r="7" spans="1:32" x14ac:dyDescent="0.25">
      <c r="A7" s="32">
        <v>4</v>
      </c>
      <c r="B7" s="39" t="s">
        <v>66</v>
      </c>
      <c r="C7" s="42" t="s">
        <v>67</v>
      </c>
      <c r="D7" s="39" t="s">
        <v>68</v>
      </c>
      <c r="E7" s="39" t="s">
        <v>51</v>
      </c>
      <c r="F7" s="40" t="s">
        <v>52</v>
      </c>
      <c r="G7" s="40">
        <v>30065</v>
      </c>
      <c r="H7" s="42" t="s">
        <v>69</v>
      </c>
      <c r="I7" s="43" t="s">
        <v>54</v>
      </c>
      <c r="J7" s="44">
        <v>202578</v>
      </c>
      <c r="K7" s="23"/>
      <c r="L7" s="45"/>
      <c r="M7" s="46"/>
      <c r="N7" s="46"/>
      <c r="O7" s="46"/>
      <c r="P7" s="46"/>
      <c r="Q7" s="46"/>
      <c r="R7" s="46"/>
      <c r="S7" s="46"/>
      <c r="T7" s="46"/>
      <c r="U7" s="46"/>
      <c r="V7" s="46"/>
      <c r="W7" s="46"/>
      <c r="X7" s="46"/>
      <c r="Y7" s="46"/>
      <c r="Z7" s="46"/>
      <c r="AA7" s="46"/>
      <c r="AB7" s="46"/>
      <c r="AC7" s="46"/>
      <c r="AD7" s="46"/>
      <c r="AE7" s="47"/>
      <c r="AF7" s="23"/>
    </row>
    <row r="8" spans="1:32" x14ac:dyDescent="0.25">
      <c r="A8" s="32">
        <v>5</v>
      </c>
      <c r="B8" s="42" t="s">
        <v>70</v>
      </c>
      <c r="C8" s="39" t="s">
        <v>71</v>
      </c>
      <c r="D8" s="39" t="s">
        <v>72</v>
      </c>
      <c r="E8" s="39" t="s">
        <v>51</v>
      </c>
      <c r="F8" s="40" t="s">
        <v>52</v>
      </c>
      <c r="G8" s="40">
        <v>30066</v>
      </c>
      <c r="H8" s="42" t="s">
        <v>73</v>
      </c>
      <c r="I8" s="43" t="s">
        <v>60</v>
      </c>
      <c r="J8" s="44">
        <v>177209</v>
      </c>
      <c r="K8" s="23"/>
      <c r="L8" s="45"/>
      <c r="M8" s="48" t="s">
        <v>40</v>
      </c>
      <c r="N8" s="46"/>
      <c r="O8" s="46"/>
      <c r="P8" s="49" t="str">
        <f>VLOOKUP((COUNT(Table13[[#All],[Number]])),Table13[],3)</f>
        <v>Carlton</v>
      </c>
      <c r="Q8" s="50"/>
      <c r="R8" s="50"/>
      <c r="S8" s="50"/>
      <c r="T8" s="50"/>
      <c r="U8" s="51"/>
      <c r="V8" s="46"/>
      <c r="W8" s="52" t="s">
        <v>43</v>
      </c>
      <c r="X8" s="46"/>
      <c r="Y8" s="49" t="str">
        <f>VLOOKUP((COUNT(Table13[[#All],[Number]])),Table13[],6)</f>
        <v xml:space="preserve">GA </v>
      </c>
      <c r="Z8" s="50"/>
      <c r="AA8" s="50"/>
      <c r="AB8" s="50"/>
      <c r="AC8" s="50"/>
      <c r="AD8" s="51"/>
      <c r="AE8" s="47"/>
      <c r="AF8" s="23"/>
    </row>
    <row r="9" spans="1:32" x14ac:dyDescent="0.25">
      <c r="A9" s="32">
        <v>6</v>
      </c>
      <c r="B9" s="39" t="s">
        <v>74</v>
      </c>
      <c r="C9" s="39" t="s">
        <v>75</v>
      </c>
      <c r="D9" s="39" t="s">
        <v>76</v>
      </c>
      <c r="E9" s="39" t="s">
        <v>77</v>
      </c>
      <c r="F9" s="40" t="s">
        <v>52</v>
      </c>
      <c r="G9" s="40">
        <v>30092</v>
      </c>
      <c r="H9" s="42" t="s">
        <v>78</v>
      </c>
      <c r="I9" s="43" t="s">
        <v>65</v>
      </c>
      <c r="J9" s="44">
        <v>212254.23</v>
      </c>
      <c r="K9" s="23"/>
      <c r="L9" s="45"/>
      <c r="M9" s="46"/>
      <c r="N9" s="46"/>
      <c r="O9" s="46"/>
      <c r="P9" s="46"/>
      <c r="Q9" s="46"/>
      <c r="R9" s="46"/>
      <c r="S9" s="46"/>
      <c r="T9" s="46"/>
      <c r="U9" s="46"/>
      <c r="V9" s="46"/>
      <c r="W9" s="46"/>
      <c r="X9" s="46"/>
      <c r="Y9" s="46"/>
      <c r="Z9" s="46"/>
      <c r="AA9" s="46"/>
      <c r="AB9" s="46"/>
      <c r="AC9" s="46"/>
      <c r="AD9" s="46"/>
      <c r="AE9" s="47"/>
      <c r="AF9" s="23"/>
    </row>
    <row r="10" spans="1:32" x14ac:dyDescent="0.25">
      <c r="A10" s="32">
        <v>7</v>
      </c>
      <c r="B10" s="39" t="s">
        <v>79</v>
      </c>
      <c r="C10" s="39" t="s">
        <v>80</v>
      </c>
      <c r="D10" s="39" t="s">
        <v>50</v>
      </c>
      <c r="E10" s="39" t="s">
        <v>81</v>
      </c>
      <c r="F10" s="40" t="s">
        <v>82</v>
      </c>
      <c r="G10" s="40">
        <v>30092</v>
      </c>
      <c r="H10" s="42" t="s">
        <v>53</v>
      </c>
      <c r="I10" s="43" t="s">
        <v>54</v>
      </c>
      <c r="J10" s="44">
        <v>124533.45</v>
      </c>
      <c r="K10" s="23"/>
      <c r="L10" s="45"/>
      <c r="M10" s="48" t="s">
        <v>41</v>
      </c>
      <c r="N10" s="46"/>
      <c r="O10" s="46"/>
      <c r="P10" s="49" t="str">
        <f>VLOOKUP((COUNT(Table13[[#All],[Number]])),Table13[],4)</f>
        <v>100 Peachtree Street</v>
      </c>
      <c r="Q10" s="50"/>
      <c r="R10" s="50"/>
      <c r="S10" s="50"/>
      <c r="T10" s="50"/>
      <c r="U10" s="51"/>
      <c r="V10" s="46"/>
      <c r="W10" s="52" t="s">
        <v>44</v>
      </c>
      <c r="X10" s="46"/>
      <c r="Y10" s="49" t="str">
        <f>TEXT(VLOOKUP((COUNT(Table13[[#All],[Number]])),Table13[],7),"00000")</f>
        <v>30092</v>
      </c>
      <c r="Z10" s="50"/>
      <c r="AA10" s="50"/>
      <c r="AB10" s="50"/>
      <c r="AC10" s="50"/>
      <c r="AD10" s="51"/>
      <c r="AE10" s="47"/>
      <c r="AF10" s="23"/>
    </row>
    <row r="11" spans="1:32" x14ac:dyDescent="0.25">
      <c r="A11" s="73"/>
      <c r="B11" s="20"/>
      <c r="C11" s="20"/>
      <c r="D11" s="20"/>
      <c r="E11" s="20"/>
      <c r="F11" s="20"/>
      <c r="G11" s="20"/>
      <c r="H11" s="20"/>
      <c r="I11" s="22"/>
      <c r="J11" s="20"/>
      <c r="K11" s="23"/>
      <c r="L11" s="45"/>
      <c r="M11" s="46"/>
      <c r="N11" s="46"/>
      <c r="O11" s="46"/>
      <c r="P11" s="46"/>
      <c r="Q11" s="46"/>
      <c r="R11" s="46"/>
      <c r="S11" s="46"/>
      <c r="T11" s="46"/>
      <c r="U11" s="46"/>
      <c r="V11" s="46"/>
      <c r="W11" s="46"/>
      <c r="X11" s="46"/>
      <c r="Y11" s="46"/>
      <c r="Z11" s="46"/>
      <c r="AA11" s="46"/>
      <c r="AB11" s="46"/>
      <c r="AC11" s="46"/>
      <c r="AD11" s="46"/>
      <c r="AE11" s="47"/>
      <c r="AF11" s="23"/>
    </row>
    <row r="12" spans="1:32" x14ac:dyDescent="0.25">
      <c r="A12" s="73"/>
      <c r="B12" s="20"/>
      <c r="C12" s="20"/>
      <c r="D12" s="20"/>
      <c r="E12" s="20"/>
      <c r="F12" s="20"/>
      <c r="G12" s="20"/>
      <c r="H12" s="20"/>
      <c r="I12" s="22"/>
      <c r="J12" s="20"/>
      <c r="K12" s="23"/>
      <c r="L12" s="45"/>
      <c r="M12" s="52" t="s">
        <v>45</v>
      </c>
      <c r="N12" s="46"/>
      <c r="O12" s="46"/>
      <c r="P12" s="49" t="str">
        <f>VLOOKUP((COUNT(Table13[[#All],[Number]])),Table13[],8)</f>
        <v>770.842.5902</v>
      </c>
      <c r="Q12" s="50"/>
      <c r="R12" s="50"/>
      <c r="S12" s="50"/>
      <c r="T12" s="50"/>
      <c r="U12" s="51"/>
      <c r="V12" s="46"/>
      <c r="W12" s="60" t="s">
        <v>99</v>
      </c>
      <c r="X12" s="46"/>
      <c r="Y12" s="49" t="str">
        <f>VLOOKUP((COUNT(Table13[[#All],[Number]])),Table13[],9)</f>
        <v>Plan A</v>
      </c>
      <c r="Z12" s="50"/>
      <c r="AA12" s="50"/>
      <c r="AB12" s="50"/>
      <c r="AC12" s="50"/>
      <c r="AD12" s="51"/>
      <c r="AE12" s="47"/>
      <c r="AF12" s="23"/>
    </row>
    <row r="13" spans="1:32" x14ac:dyDescent="0.25">
      <c r="A13" s="73"/>
      <c r="C13" s="20"/>
      <c r="D13" s="20"/>
      <c r="E13" s="20"/>
      <c r="F13" s="20"/>
      <c r="G13" s="20"/>
      <c r="H13" s="20"/>
      <c r="I13" s="22"/>
      <c r="J13" s="20"/>
      <c r="K13" s="23"/>
      <c r="L13" s="45"/>
      <c r="M13" s="46"/>
      <c r="N13" s="46"/>
      <c r="O13" s="46"/>
      <c r="P13" s="46"/>
      <c r="Q13" s="46"/>
      <c r="R13" s="46"/>
      <c r="S13" s="46"/>
      <c r="T13" s="46"/>
      <c r="U13" s="46"/>
      <c r="V13" s="46"/>
      <c r="W13" s="46"/>
      <c r="X13" s="46"/>
      <c r="Y13" s="46"/>
      <c r="Z13" s="46"/>
      <c r="AA13" s="46"/>
      <c r="AB13" s="46"/>
      <c r="AC13" s="46"/>
      <c r="AD13" s="46"/>
      <c r="AE13" s="47"/>
      <c r="AF13" s="23"/>
    </row>
    <row r="14" spans="1:32" ht="24.75" x14ac:dyDescent="0.45">
      <c r="A14" s="73"/>
      <c r="B14" s="175"/>
      <c r="C14" s="20"/>
      <c r="D14" s="20"/>
      <c r="E14" s="20"/>
      <c r="F14" s="20"/>
      <c r="G14" s="20"/>
      <c r="H14" s="20"/>
      <c r="I14" s="22"/>
      <c r="J14" s="20"/>
      <c r="K14" s="23"/>
      <c r="L14" s="45"/>
      <c r="M14" s="52" t="s">
        <v>90</v>
      </c>
      <c r="N14" s="46"/>
      <c r="O14" s="46"/>
      <c r="P14" s="46"/>
      <c r="Q14" s="46"/>
      <c r="R14" s="46"/>
      <c r="S14" s="46"/>
      <c r="T14" s="46"/>
      <c r="U14" s="46"/>
      <c r="V14" s="46"/>
      <c r="W14" s="46"/>
      <c r="X14" s="46"/>
      <c r="Y14" s="49" t="str">
        <f>TEXT(VLOOKUP((COUNT(Table13[[#All],[Number]])),Table13[],10),"$#,##0.00")</f>
        <v>$124,533.45</v>
      </c>
      <c r="Z14" s="50"/>
      <c r="AA14" s="50"/>
      <c r="AB14" s="50"/>
      <c r="AC14" s="50"/>
      <c r="AD14" s="51"/>
      <c r="AE14" s="47"/>
      <c r="AF14" s="23"/>
    </row>
    <row r="15" spans="1:32" x14ac:dyDescent="0.25">
      <c r="A15" s="73"/>
      <c r="B15" s="20"/>
      <c r="C15" s="20"/>
      <c r="D15" s="20"/>
      <c r="E15" s="20"/>
      <c r="F15" s="20"/>
      <c r="G15" s="20"/>
      <c r="H15" s="20"/>
      <c r="I15" s="22"/>
      <c r="J15" s="20"/>
      <c r="K15" s="23"/>
      <c r="L15" s="45"/>
      <c r="M15" s="46"/>
      <c r="N15" s="46"/>
      <c r="O15" s="46"/>
      <c r="P15" s="46"/>
      <c r="Q15" s="46"/>
      <c r="R15" s="46"/>
      <c r="S15" s="46"/>
      <c r="T15" s="46"/>
      <c r="U15" s="46"/>
      <c r="V15" s="46"/>
      <c r="W15" s="46"/>
      <c r="X15" s="46"/>
      <c r="Y15" s="46"/>
      <c r="Z15" s="46"/>
      <c r="AA15" s="46"/>
      <c r="AB15" s="46"/>
      <c r="AC15" s="46"/>
      <c r="AD15" s="46"/>
      <c r="AE15" s="47"/>
      <c r="AF15" s="23"/>
    </row>
    <row r="16" spans="1:32" x14ac:dyDescent="0.25">
      <c r="A16" s="73"/>
      <c r="B16" s="20"/>
      <c r="C16" s="20"/>
      <c r="D16" s="20"/>
      <c r="E16" s="20"/>
      <c r="F16" s="20"/>
      <c r="G16" s="20"/>
      <c r="H16" s="20"/>
      <c r="I16" s="22"/>
      <c r="J16" s="20"/>
      <c r="K16" s="23"/>
      <c r="L16" s="303" t="s">
        <v>91</v>
      </c>
      <c r="M16" s="304"/>
      <c r="N16" s="304"/>
      <c r="O16" s="304"/>
      <c r="P16" s="304"/>
      <c r="Q16" s="304"/>
      <c r="R16" s="304"/>
      <c r="S16" s="304"/>
      <c r="T16" s="304"/>
      <c r="U16" s="304"/>
      <c r="V16" s="304"/>
      <c r="W16" s="304"/>
      <c r="X16" s="304"/>
      <c r="Y16" s="304"/>
      <c r="Z16" s="304"/>
      <c r="AA16" s="304"/>
      <c r="AB16" s="304"/>
      <c r="AC16" s="304"/>
      <c r="AD16" s="304"/>
      <c r="AE16" s="305"/>
      <c r="AF16" s="23"/>
    </row>
    <row r="17" spans="1:32" ht="16.5" thickBot="1" x14ac:dyDescent="0.3">
      <c r="A17" s="73"/>
      <c r="B17" s="20"/>
      <c r="C17" s="20"/>
      <c r="D17" s="20"/>
      <c r="E17" s="20"/>
      <c r="F17" s="20"/>
      <c r="G17" s="20"/>
      <c r="H17" s="20"/>
      <c r="I17" s="22"/>
      <c r="J17" s="20"/>
      <c r="K17" s="23"/>
      <c r="L17" s="61"/>
      <c r="M17" s="62"/>
      <c r="N17" s="62"/>
      <c r="O17" s="62"/>
      <c r="P17" s="62"/>
      <c r="Q17" s="62"/>
      <c r="R17" s="62"/>
      <c r="S17" s="62"/>
      <c r="T17" s="62"/>
      <c r="U17" s="62"/>
      <c r="V17" s="62"/>
      <c r="W17" s="62"/>
      <c r="X17" s="62"/>
      <c r="Y17" s="62"/>
      <c r="Z17" s="62"/>
      <c r="AA17" s="62"/>
      <c r="AB17" s="62"/>
      <c r="AC17" s="62"/>
      <c r="AD17" s="62"/>
      <c r="AE17" s="63"/>
      <c r="AF17" s="23"/>
    </row>
    <row r="18" spans="1:32" x14ac:dyDescent="0.25">
      <c r="A18" s="73"/>
      <c r="B18" s="20"/>
      <c r="C18" s="20"/>
      <c r="D18" s="20"/>
      <c r="E18" s="20"/>
      <c r="F18" s="20"/>
      <c r="G18" s="20"/>
      <c r="H18" s="20"/>
      <c r="I18" s="22"/>
      <c r="J18" s="20"/>
      <c r="K18" s="23"/>
      <c r="L18" s="23"/>
      <c r="M18" s="23"/>
      <c r="N18" s="23"/>
      <c r="O18" s="23"/>
      <c r="P18" s="23"/>
      <c r="Q18" s="23"/>
      <c r="R18" s="23"/>
      <c r="S18" s="23"/>
      <c r="T18" s="23"/>
      <c r="U18" s="23"/>
      <c r="V18" s="23"/>
      <c r="W18" s="23"/>
      <c r="X18" s="23"/>
      <c r="Y18" s="23"/>
      <c r="Z18" s="23"/>
      <c r="AA18" s="23"/>
      <c r="AB18" s="23"/>
      <c r="AC18" s="23"/>
      <c r="AD18" s="23"/>
      <c r="AE18" s="23"/>
      <c r="AF18" s="23"/>
    </row>
    <row r="19" spans="1:32" x14ac:dyDescent="0.25">
      <c r="A19" s="73"/>
      <c r="B19" s="20"/>
      <c r="C19" s="20"/>
      <c r="D19" s="20"/>
      <c r="E19" s="20"/>
      <c r="F19" s="20"/>
      <c r="G19" s="20"/>
      <c r="H19" s="20"/>
      <c r="I19" s="22"/>
      <c r="J19" s="20"/>
      <c r="K19" s="23"/>
      <c r="L19" s="23"/>
      <c r="M19" s="23"/>
      <c r="N19" s="23"/>
      <c r="O19" s="23"/>
      <c r="P19" s="23"/>
      <c r="Q19" s="23"/>
      <c r="R19" s="23"/>
      <c r="S19" s="23"/>
      <c r="T19" s="23"/>
      <c r="U19" s="23"/>
      <c r="V19" s="23"/>
      <c r="W19" s="23"/>
      <c r="X19" s="23"/>
      <c r="Y19" s="23"/>
      <c r="Z19" s="23"/>
      <c r="AA19" s="23"/>
      <c r="AB19" s="23"/>
      <c r="AC19" s="23"/>
      <c r="AD19" s="23"/>
      <c r="AE19" s="23"/>
      <c r="AF19" s="23"/>
    </row>
    <row r="20" spans="1:32" x14ac:dyDescent="0.25">
      <c r="A20" s="73"/>
      <c r="B20" s="20"/>
      <c r="C20" s="20"/>
      <c r="D20" s="20"/>
      <c r="E20" s="20"/>
      <c r="F20" s="20"/>
      <c r="G20" s="20"/>
      <c r="H20" s="20"/>
      <c r="I20" s="22"/>
      <c r="J20" s="20"/>
      <c r="K20" s="23"/>
      <c r="L20" s="23"/>
      <c r="M20" s="23"/>
      <c r="N20" s="23"/>
      <c r="O20" s="23"/>
      <c r="P20" s="23"/>
      <c r="Q20" s="23"/>
      <c r="R20" s="23"/>
      <c r="S20" s="23"/>
      <c r="T20" s="23"/>
      <c r="U20" s="23"/>
      <c r="V20" s="23"/>
      <c r="W20" s="23"/>
      <c r="X20" s="23"/>
      <c r="Y20" s="23"/>
      <c r="Z20" s="23"/>
      <c r="AA20" s="23"/>
      <c r="AB20" s="23"/>
      <c r="AC20" s="23"/>
      <c r="AD20" s="23"/>
      <c r="AE20" s="23"/>
      <c r="AF20" s="23"/>
    </row>
    <row r="21" spans="1:32" x14ac:dyDescent="0.25">
      <c r="A21" s="73"/>
      <c r="B21" s="20"/>
      <c r="C21" s="20"/>
      <c r="D21" s="20"/>
      <c r="E21" s="20"/>
      <c r="F21" s="20"/>
      <c r="G21" s="20"/>
      <c r="H21" s="20"/>
      <c r="I21" s="22"/>
      <c r="J21" s="20"/>
      <c r="K21" s="23"/>
      <c r="L21" s="23"/>
      <c r="M21" s="23"/>
      <c r="N21" s="23"/>
      <c r="O21" s="23"/>
      <c r="P21" s="23"/>
      <c r="Q21" s="23"/>
      <c r="R21" s="23"/>
      <c r="S21" s="23"/>
      <c r="T21" s="23"/>
      <c r="U21" s="23"/>
      <c r="V21" s="23"/>
      <c r="W21" s="23"/>
      <c r="X21" s="23"/>
      <c r="Y21" s="23"/>
      <c r="Z21" s="23"/>
      <c r="AA21" s="23"/>
      <c r="AB21" s="23"/>
      <c r="AC21" s="23"/>
      <c r="AD21" s="23"/>
      <c r="AE21" s="23"/>
      <c r="AF21" s="23"/>
    </row>
    <row r="22" spans="1:32" x14ac:dyDescent="0.25">
      <c r="A22" s="73"/>
      <c r="B22" s="20"/>
      <c r="C22" s="20"/>
      <c r="D22" s="20"/>
      <c r="E22" s="20"/>
      <c r="F22" s="20"/>
      <c r="G22" s="20"/>
      <c r="H22" s="20"/>
      <c r="I22" s="22"/>
      <c r="J22" s="20"/>
      <c r="K22" s="23"/>
      <c r="L22" s="23"/>
      <c r="M22" s="23"/>
      <c r="N22" s="23"/>
      <c r="O22" s="23"/>
      <c r="P22" s="23"/>
      <c r="Q22" s="23"/>
      <c r="R22" s="23"/>
      <c r="S22" s="23"/>
      <c r="T22" s="23"/>
      <c r="U22" s="23"/>
      <c r="V22" s="23"/>
      <c r="W22" s="23"/>
      <c r="X22" s="23"/>
      <c r="Y22" s="23"/>
      <c r="Z22" s="23"/>
      <c r="AA22" s="23"/>
      <c r="AB22" s="23"/>
      <c r="AC22" s="23"/>
      <c r="AD22" s="23"/>
      <c r="AE22" s="23"/>
      <c r="AF22" s="23"/>
    </row>
    <row r="23" spans="1:32" x14ac:dyDescent="0.25">
      <c r="A23" s="73"/>
      <c r="B23" s="20"/>
      <c r="C23" s="20"/>
      <c r="D23" s="20"/>
      <c r="E23" s="20"/>
      <c r="F23" s="20"/>
      <c r="G23" s="20"/>
      <c r="H23" s="20"/>
      <c r="I23" s="22"/>
      <c r="J23" s="20"/>
      <c r="K23" s="23"/>
      <c r="L23" s="23"/>
      <c r="M23" s="23"/>
      <c r="N23" s="23"/>
      <c r="O23" s="23"/>
      <c r="P23" s="23"/>
      <c r="Q23" s="23"/>
      <c r="R23" s="23"/>
      <c r="S23" s="23"/>
      <c r="T23" s="23"/>
      <c r="U23" s="23"/>
      <c r="V23" s="23"/>
      <c r="W23" s="23"/>
      <c r="X23" s="23"/>
      <c r="Y23" s="23"/>
      <c r="Z23" s="23"/>
      <c r="AA23" s="23"/>
      <c r="AB23" s="23"/>
      <c r="AC23" s="23"/>
      <c r="AD23" s="23"/>
      <c r="AE23" s="23"/>
      <c r="AF23" s="23"/>
    </row>
    <row r="24" spans="1:32" x14ac:dyDescent="0.25">
      <c r="A24" s="73"/>
      <c r="B24" s="20"/>
      <c r="C24" s="20"/>
      <c r="D24" s="20"/>
      <c r="E24" s="20"/>
      <c r="F24" s="20"/>
      <c r="G24" s="20"/>
      <c r="H24" s="20"/>
      <c r="I24" s="22"/>
      <c r="J24" s="20"/>
      <c r="K24" s="23"/>
      <c r="L24" s="23"/>
      <c r="M24" s="23"/>
      <c r="N24" s="23"/>
      <c r="O24" s="23"/>
      <c r="P24" s="23"/>
      <c r="Q24" s="23"/>
      <c r="R24" s="23"/>
      <c r="S24" s="23"/>
      <c r="T24" s="23"/>
      <c r="U24" s="23"/>
      <c r="V24" s="23"/>
      <c r="W24" s="23"/>
      <c r="X24" s="23"/>
      <c r="Y24" s="23"/>
      <c r="Z24" s="23"/>
      <c r="AA24" s="23"/>
      <c r="AB24" s="23"/>
      <c r="AC24" s="23"/>
      <c r="AD24" s="23"/>
      <c r="AE24" s="23"/>
      <c r="AF24" s="23"/>
    </row>
    <row r="25" spans="1:32" x14ac:dyDescent="0.25">
      <c r="A25" s="73"/>
      <c r="B25" s="20"/>
      <c r="C25" s="20"/>
      <c r="D25" s="20"/>
      <c r="E25" s="20"/>
      <c r="F25" s="20"/>
      <c r="G25" s="20"/>
      <c r="H25" s="20"/>
      <c r="I25" s="22"/>
      <c r="J25" s="20"/>
      <c r="K25" s="23"/>
      <c r="L25" s="23"/>
      <c r="M25" s="23"/>
      <c r="N25" s="23"/>
      <c r="O25" s="23"/>
      <c r="P25" s="23"/>
      <c r="Q25" s="23"/>
      <c r="R25" s="23"/>
      <c r="S25" s="23"/>
      <c r="T25" s="23"/>
      <c r="U25" s="23"/>
      <c r="V25" s="23"/>
      <c r="W25" s="23"/>
      <c r="X25" s="23"/>
      <c r="Y25" s="23"/>
      <c r="Z25" s="23"/>
      <c r="AA25" s="23"/>
      <c r="AB25" s="23"/>
      <c r="AC25" s="23"/>
      <c r="AD25" s="23"/>
      <c r="AE25" s="23"/>
      <c r="AF25" s="23"/>
    </row>
    <row r="26" spans="1:32" x14ac:dyDescent="0.25">
      <c r="A26" s="73"/>
      <c r="B26" s="20"/>
      <c r="C26" s="20"/>
      <c r="D26" s="20"/>
      <c r="E26" s="20"/>
      <c r="F26" s="20"/>
      <c r="G26" s="20"/>
      <c r="H26" s="20"/>
      <c r="I26" s="22"/>
      <c r="J26" s="20"/>
      <c r="K26" s="23"/>
      <c r="L26" s="23"/>
      <c r="M26" s="23"/>
      <c r="N26" s="23"/>
      <c r="O26" s="23"/>
      <c r="P26" s="23"/>
      <c r="Q26" s="23"/>
      <c r="R26" s="23"/>
      <c r="S26" s="23"/>
      <c r="T26" s="23"/>
      <c r="U26" s="23"/>
      <c r="V26" s="23"/>
      <c r="W26" s="23"/>
      <c r="X26" s="23"/>
      <c r="Y26" s="23"/>
      <c r="Z26" s="23"/>
      <c r="AA26" s="23"/>
      <c r="AB26" s="23"/>
      <c r="AC26" s="23"/>
      <c r="AD26" s="23"/>
      <c r="AE26" s="23"/>
      <c r="AF26" s="23"/>
    </row>
    <row r="27" spans="1:32" x14ac:dyDescent="0.25">
      <c r="A27" s="73"/>
      <c r="B27" s="20"/>
      <c r="C27" s="20"/>
      <c r="D27" s="20"/>
      <c r="E27" s="20"/>
      <c r="F27" s="20"/>
      <c r="G27" s="20"/>
      <c r="H27" s="20"/>
      <c r="I27" s="22"/>
      <c r="J27" s="20"/>
      <c r="K27" s="23"/>
      <c r="L27" s="23"/>
      <c r="M27" s="23"/>
      <c r="N27" s="23"/>
      <c r="O27" s="23"/>
      <c r="P27" s="23"/>
      <c r="Q27" s="23"/>
      <c r="R27" s="23"/>
      <c r="S27" s="23"/>
      <c r="T27" s="23"/>
      <c r="U27" s="23"/>
      <c r="V27" s="23"/>
      <c r="W27" s="23"/>
      <c r="X27" s="23"/>
      <c r="Y27" s="23"/>
      <c r="Z27" s="23"/>
      <c r="AA27" s="23"/>
      <c r="AB27" s="23"/>
      <c r="AC27" s="23"/>
      <c r="AD27" s="23"/>
      <c r="AE27" s="23"/>
      <c r="AF27" s="23"/>
    </row>
    <row r="28" spans="1:32" x14ac:dyDescent="0.25">
      <c r="A28" s="73"/>
      <c r="B28" s="20"/>
      <c r="C28" s="20"/>
      <c r="D28" s="20"/>
      <c r="E28" s="20"/>
      <c r="F28" s="20"/>
      <c r="G28" s="20"/>
      <c r="H28" s="20"/>
      <c r="I28" s="22"/>
      <c r="J28" s="20"/>
      <c r="K28" s="23"/>
      <c r="L28" s="23"/>
      <c r="M28" s="23"/>
      <c r="N28" s="23"/>
      <c r="O28" s="23"/>
      <c r="P28" s="23"/>
      <c r="Q28" s="23"/>
      <c r="R28" s="23"/>
      <c r="S28" s="23"/>
      <c r="T28" s="23"/>
      <c r="U28" s="23"/>
      <c r="V28" s="23"/>
      <c r="W28" s="23"/>
      <c r="X28" s="23"/>
      <c r="Y28" s="23"/>
      <c r="Z28" s="23"/>
      <c r="AA28" s="23"/>
      <c r="AB28" s="23"/>
      <c r="AC28" s="23"/>
      <c r="AD28" s="23"/>
      <c r="AE28" s="23"/>
      <c r="AF28" s="23"/>
    </row>
  </sheetData>
  <mergeCells count="2">
    <mergeCell ref="L4:AE4"/>
    <mergeCell ref="L16:AE16"/>
  </mergeCells>
  <pageMargins left="0.7" right="0.7" top="0.75" bottom="0.75" header="0.3" footer="0.3"/>
  <drawing r:id="rId1"/>
  <tableParts count="1">
    <tablePart r:id="rId2"/>
  </tablePar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AG106"/>
  <sheetViews>
    <sheetView showGridLines="0" workbookViewId="0">
      <selection activeCell="Q1" sqref="Q1"/>
    </sheetView>
  </sheetViews>
  <sheetFormatPr defaultRowHeight="15.75" x14ac:dyDescent="0.25"/>
  <cols>
    <col min="1" max="1" width="7.875" bestFit="1" customWidth="1"/>
    <col min="2" max="3" width="10" bestFit="1" customWidth="1"/>
    <col min="4" max="4" width="19" bestFit="1" customWidth="1"/>
    <col min="5" max="5" width="8.375" bestFit="1" customWidth="1"/>
    <col min="6" max="6" width="5.375" bestFit="1" customWidth="1"/>
    <col min="7" max="7" width="5.875" bestFit="1" customWidth="1"/>
    <col min="8" max="8" width="11.875" bestFit="1" customWidth="1"/>
    <col min="9" max="9" width="11.875" customWidth="1"/>
    <col min="10" max="10" width="12.125" bestFit="1" customWidth="1"/>
    <col min="11" max="11" width="3.75" customWidth="1"/>
    <col min="12" max="31" width="3.625" customWidth="1"/>
    <col min="32" max="32" width="3" customWidth="1"/>
  </cols>
  <sheetData>
    <row r="1" spans="1:33" x14ac:dyDescent="0.25">
      <c r="A1" s="16"/>
      <c r="B1" s="16"/>
      <c r="C1" s="16"/>
      <c r="D1" s="16"/>
      <c r="E1" s="16"/>
      <c r="F1" s="16"/>
      <c r="G1" s="16"/>
      <c r="H1" s="16"/>
      <c r="I1" s="16"/>
      <c r="J1" s="16"/>
      <c r="K1" s="16"/>
      <c r="L1" s="16"/>
      <c r="M1" s="16"/>
      <c r="N1" s="16"/>
      <c r="O1" s="16"/>
      <c r="P1" s="16"/>
      <c r="Q1" s="16"/>
      <c r="R1" s="16"/>
      <c r="S1" s="17">
        <f t="shared" ref="S1:AB1" si="0">VLOOKUP(MAX($A$3:$A$147),$A$3:$H$147,2)</f>
        <v>0</v>
      </c>
      <c r="T1" s="17">
        <f t="shared" si="0"/>
        <v>0</v>
      </c>
      <c r="U1" s="17">
        <f t="shared" si="0"/>
        <v>0</v>
      </c>
      <c r="V1" s="17">
        <f t="shared" si="0"/>
        <v>0</v>
      </c>
      <c r="W1" s="17">
        <f t="shared" si="0"/>
        <v>0</v>
      </c>
      <c r="X1" s="17">
        <f t="shared" si="0"/>
        <v>0</v>
      </c>
      <c r="Y1" s="17">
        <f t="shared" si="0"/>
        <v>0</v>
      </c>
      <c r="Z1" s="17">
        <f t="shared" si="0"/>
        <v>0</v>
      </c>
      <c r="AA1" s="17">
        <f t="shared" si="0"/>
        <v>0</v>
      </c>
      <c r="AB1" s="17">
        <f t="shared" si="0"/>
        <v>0</v>
      </c>
      <c r="AC1" s="18"/>
      <c r="AD1" s="18"/>
      <c r="AE1" s="18"/>
      <c r="AF1" s="18"/>
      <c r="AG1" s="18"/>
    </row>
    <row r="2" spans="1:33" ht="16.5" thickBot="1" x14ac:dyDescent="0.3">
      <c r="A2" s="73"/>
      <c r="B2" s="20"/>
      <c r="C2" s="20"/>
      <c r="D2" s="20"/>
      <c r="E2" s="20"/>
      <c r="F2" s="20"/>
      <c r="G2" s="20"/>
      <c r="H2" s="20"/>
      <c r="I2" s="22"/>
      <c r="J2" s="20"/>
      <c r="K2" s="23"/>
      <c r="L2" s="23"/>
      <c r="M2" s="23"/>
      <c r="N2" s="23"/>
      <c r="O2" s="23"/>
      <c r="P2" s="23"/>
      <c r="Q2" s="23"/>
      <c r="R2" s="23"/>
      <c r="S2" s="23"/>
      <c r="T2" s="23"/>
      <c r="U2" s="23"/>
      <c r="V2" s="23"/>
      <c r="W2" s="23"/>
      <c r="X2" s="23"/>
      <c r="Y2" s="23"/>
      <c r="Z2" s="23"/>
      <c r="AA2" s="23"/>
      <c r="AB2" s="23"/>
      <c r="AC2" s="23"/>
      <c r="AD2" s="23"/>
      <c r="AE2" s="23"/>
      <c r="AF2" s="23"/>
      <c r="AG2" s="23"/>
    </row>
    <row r="3" spans="1:33" x14ac:dyDescent="0.25">
      <c r="A3" s="68" t="s">
        <v>38</v>
      </c>
      <c r="B3" s="69" t="s">
        <v>39</v>
      </c>
      <c r="C3" s="69" t="s">
        <v>40</v>
      </c>
      <c r="D3" s="69" t="s">
        <v>41</v>
      </c>
      <c r="E3" s="68" t="s">
        <v>42</v>
      </c>
      <c r="F3" s="68" t="s">
        <v>43</v>
      </c>
      <c r="G3" s="68" t="s">
        <v>44</v>
      </c>
      <c r="H3" s="68" t="s">
        <v>45</v>
      </c>
      <c r="I3" s="68" t="s">
        <v>46</v>
      </c>
      <c r="J3" s="68" t="s">
        <v>47</v>
      </c>
      <c r="K3" s="23"/>
      <c r="L3" s="29"/>
      <c r="M3" s="30"/>
      <c r="N3" s="30"/>
      <c r="O3" s="30"/>
      <c r="P3" s="30"/>
      <c r="Q3" s="30"/>
      <c r="R3" s="30"/>
      <c r="S3" s="30"/>
      <c r="T3" s="30"/>
      <c r="U3" s="30"/>
      <c r="V3" s="30"/>
      <c r="W3" s="30"/>
      <c r="X3" s="30"/>
      <c r="Y3" s="30"/>
      <c r="Z3" s="30"/>
      <c r="AA3" s="30"/>
      <c r="AB3" s="30"/>
      <c r="AC3" s="30"/>
      <c r="AD3" s="30"/>
      <c r="AE3" s="31"/>
      <c r="AF3" s="23"/>
      <c r="AG3" s="23"/>
    </row>
    <row r="4" spans="1:33" x14ac:dyDescent="0.25">
      <c r="A4" s="32">
        <v>1</v>
      </c>
      <c r="B4" s="33" t="s">
        <v>48</v>
      </c>
      <c r="C4" s="34" t="s">
        <v>49</v>
      </c>
      <c r="D4" s="34" t="s">
        <v>50</v>
      </c>
      <c r="E4" s="34" t="s">
        <v>51</v>
      </c>
      <c r="F4" s="35" t="s">
        <v>52</v>
      </c>
      <c r="G4" s="35">
        <v>30062</v>
      </c>
      <c r="H4" s="33" t="s">
        <v>53</v>
      </c>
      <c r="I4" s="37" t="s">
        <v>54</v>
      </c>
      <c r="J4" s="70">
        <v>157665</v>
      </c>
      <c r="K4" s="23"/>
      <c r="L4" s="300" t="s">
        <v>55</v>
      </c>
      <c r="M4" s="301"/>
      <c r="N4" s="301"/>
      <c r="O4" s="301"/>
      <c r="P4" s="301"/>
      <c r="Q4" s="301"/>
      <c r="R4" s="301"/>
      <c r="S4" s="301"/>
      <c r="T4" s="301"/>
      <c r="U4" s="301"/>
      <c r="V4" s="301"/>
      <c r="W4" s="301"/>
      <c r="X4" s="301"/>
      <c r="Y4" s="301"/>
      <c r="Z4" s="301"/>
      <c r="AA4" s="301"/>
      <c r="AB4" s="301"/>
      <c r="AC4" s="301"/>
      <c r="AD4" s="301"/>
      <c r="AE4" s="302"/>
      <c r="AF4" s="23"/>
      <c r="AG4" s="23"/>
    </row>
    <row r="5" spans="1:33" x14ac:dyDescent="0.25">
      <c r="A5" s="32">
        <v>2</v>
      </c>
      <c r="B5" s="39" t="s">
        <v>56</v>
      </c>
      <c r="C5" s="39" t="s">
        <v>57</v>
      </c>
      <c r="D5" s="39" t="s">
        <v>58</v>
      </c>
      <c r="E5" s="39" t="s">
        <v>51</v>
      </c>
      <c r="F5" s="40" t="s">
        <v>52</v>
      </c>
      <c r="G5" s="40">
        <v>30063</v>
      </c>
      <c r="H5" s="42" t="s">
        <v>59</v>
      </c>
      <c r="I5" s="43" t="s">
        <v>60</v>
      </c>
      <c r="J5" s="71">
        <v>156340</v>
      </c>
      <c r="K5" s="23"/>
      <c r="L5" s="45"/>
      <c r="M5" s="46"/>
      <c r="N5" s="46"/>
      <c r="O5" s="46"/>
      <c r="P5" s="46"/>
      <c r="Q5" s="46"/>
      <c r="R5" s="46"/>
      <c r="S5" s="46"/>
      <c r="T5" s="46"/>
      <c r="U5" s="46"/>
      <c r="V5" s="46"/>
      <c r="W5" s="46"/>
      <c r="X5" s="46"/>
      <c r="Y5" s="46"/>
      <c r="Z5" s="46"/>
      <c r="AA5" s="46"/>
      <c r="AB5" s="46"/>
      <c r="AC5" s="46"/>
      <c r="AD5" s="46"/>
      <c r="AE5" s="47"/>
      <c r="AF5" s="23"/>
      <c r="AG5" s="23"/>
    </row>
    <row r="6" spans="1:33" x14ac:dyDescent="0.25">
      <c r="A6" s="32">
        <v>3</v>
      </c>
      <c r="B6" s="39" t="s">
        <v>61</v>
      </c>
      <c r="C6" s="42" t="s">
        <v>62</v>
      </c>
      <c r="D6" s="39" t="s">
        <v>63</v>
      </c>
      <c r="E6" s="39" t="s">
        <v>51</v>
      </c>
      <c r="F6" s="40" t="s">
        <v>52</v>
      </c>
      <c r="G6" s="40">
        <v>30064</v>
      </c>
      <c r="H6" s="42" t="s">
        <v>64</v>
      </c>
      <c r="I6" s="43" t="s">
        <v>65</v>
      </c>
      <c r="J6" s="71">
        <v>81480</v>
      </c>
      <c r="K6" s="23"/>
      <c r="L6" s="45"/>
      <c r="M6" s="48" t="s">
        <v>39</v>
      </c>
      <c r="N6" s="46"/>
      <c r="O6" s="46"/>
      <c r="P6" s="49" t="str">
        <f>INDEX($B$4:$B$105,COUNTA($B$4:$B$105))</f>
        <v>Collins</v>
      </c>
      <c r="Q6" s="50"/>
      <c r="R6" s="50"/>
      <c r="S6" s="50"/>
      <c r="T6" s="50"/>
      <c r="U6" s="51"/>
      <c r="V6" s="46"/>
      <c r="W6" s="52" t="s">
        <v>42</v>
      </c>
      <c r="X6" s="46"/>
      <c r="Y6" s="49" t="str">
        <f>INDEX($E$4:$E$105,COUNTA($E$4:$E$105))</f>
        <v>Norcross</v>
      </c>
      <c r="Z6" s="50"/>
      <c r="AA6" s="50"/>
      <c r="AB6" s="50"/>
      <c r="AC6" s="50"/>
      <c r="AD6" s="51"/>
      <c r="AE6" s="47"/>
      <c r="AF6" s="23"/>
      <c r="AG6" s="23"/>
    </row>
    <row r="7" spans="1:33" x14ac:dyDescent="0.25">
      <c r="A7" s="32">
        <v>4</v>
      </c>
      <c r="B7" s="39" t="s">
        <v>66</v>
      </c>
      <c r="C7" s="42" t="s">
        <v>67</v>
      </c>
      <c r="D7" s="39" t="s">
        <v>68</v>
      </c>
      <c r="E7" s="39" t="s">
        <v>51</v>
      </c>
      <c r="F7" s="40" t="s">
        <v>52</v>
      </c>
      <c r="G7" s="40">
        <v>30065</v>
      </c>
      <c r="H7" s="42" t="s">
        <v>69</v>
      </c>
      <c r="I7" s="43" t="s">
        <v>54</v>
      </c>
      <c r="J7" s="71">
        <v>202578</v>
      </c>
      <c r="K7" s="23"/>
      <c r="L7" s="45"/>
      <c r="M7" s="46"/>
      <c r="N7" s="46"/>
      <c r="O7" s="46"/>
      <c r="P7" s="46"/>
      <c r="Q7" s="46"/>
      <c r="R7" s="46"/>
      <c r="S7" s="46"/>
      <c r="T7" s="46"/>
      <c r="U7" s="46"/>
      <c r="V7" s="46"/>
      <c r="W7" s="46"/>
      <c r="X7" s="46"/>
      <c r="Y7" s="46"/>
      <c r="Z7" s="46"/>
      <c r="AA7" s="46"/>
      <c r="AB7" s="46"/>
      <c r="AC7" s="46"/>
      <c r="AD7" s="46"/>
      <c r="AE7" s="47"/>
      <c r="AF7" s="23"/>
      <c r="AG7" s="23"/>
    </row>
    <row r="8" spans="1:33" x14ac:dyDescent="0.25">
      <c r="A8" s="32">
        <v>5</v>
      </c>
      <c r="B8" s="42" t="s">
        <v>70</v>
      </c>
      <c r="C8" s="39" t="s">
        <v>71</v>
      </c>
      <c r="D8" s="39" t="s">
        <v>72</v>
      </c>
      <c r="E8" s="39" t="s">
        <v>51</v>
      </c>
      <c r="F8" s="40" t="s">
        <v>52</v>
      </c>
      <c r="G8" s="40">
        <v>30066</v>
      </c>
      <c r="H8" s="42" t="s">
        <v>73</v>
      </c>
      <c r="I8" s="43" t="s">
        <v>60</v>
      </c>
      <c r="J8" s="71">
        <v>177209</v>
      </c>
      <c r="K8" s="23"/>
      <c r="L8" s="45"/>
      <c r="M8" s="48" t="s">
        <v>40</v>
      </c>
      <c r="N8" s="46"/>
      <c r="O8" s="46"/>
      <c r="P8" s="49" t="str">
        <f>INDEX($C$4:$C$105,COUNTA($C$4:$C$105))</f>
        <v>Carlton</v>
      </c>
      <c r="Q8" s="50"/>
      <c r="R8" s="50"/>
      <c r="S8" s="50"/>
      <c r="T8" s="50"/>
      <c r="U8" s="51"/>
      <c r="V8" s="46"/>
      <c r="W8" s="52" t="s">
        <v>43</v>
      </c>
      <c r="X8" s="46"/>
      <c r="Y8" s="49" t="str">
        <f>INDEX($F$4:$F$105,COUNTA($F$4:$F$105))</f>
        <v xml:space="preserve">GA </v>
      </c>
      <c r="Z8" s="50"/>
      <c r="AA8" s="50"/>
      <c r="AB8" s="50"/>
      <c r="AC8" s="50"/>
      <c r="AD8" s="51"/>
      <c r="AE8" s="47"/>
      <c r="AF8" s="23"/>
      <c r="AG8" s="23"/>
    </row>
    <row r="9" spans="1:33" x14ac:dyDescent="0.25">
      <c r="A9" s="32">
        <v>6</v>
      </c>
      <c r="B9" s="39" t="s">
        <v>74</v>
      </c>
      <c r="C9" s="39" t="s">
        <v>75</v>
      </c>
      <c r="D9" s="39" t="s">
        <v>76</v>
      </c>
      <c r="E9" s="39" t="s">
        <v>77</v>
      </c>
      <c r="F9" s="40" t="s">
        <v>52</v>
      </c>
      <c r="G9" s="40">
        <v>30092</v>
      </c>
      <c r="H9" s="42" t="s">
        <v>78</v>
      </c>
      <c r="I9" s="43" t="s">
        <v>65</v>
      </c>
      <c r="J9" s="71">
        <v>212254.23</v>
      </c>
      <c r="K9" s="23"/>
      <c r="L9" s="45"/>
      <c r="M9" s="46"/>
      <c r="N9" s="46"/>
      <c r="O9" s="46"/>
      <c r="P9" s="46"/>
      <c r="Q9" s="46"/>
      <c r="R9" s="46"/>
      <c r="S9" s="46"/>
      <c r="T9" s="46"/>
      <c r="U9" s="46"/>
      <c r="V9" s="46"/>
      <c r="W9" s="46"/>
      <c r="X9" s="46"/>
      <c r="Y9" s="46"/>
      <c r="Z9" s="46"/>
      <c r="AA9" s="46"/>
      <c r="AB9" s="46"/>
      <c r="AC9" s="46"/>
      <c r="AD9" s="46"/>
      <c r="AE9" s="47"/>
      <c r="AF9" s="23"/>
      <c r="AG9" s="23"/>
    </row>
    <row r="10" spans="1:33" x14ac:dyDescent="0.25">
      <c r="A10" s="32">
        <v>7</v>
      </c>
      <c r="B10" s="39" t="s">
        <v>79</v>
      </c>
      <c r="C10" s="39" t="s">
        <v>80</v>
      </c>
      <c r="D10" s="39" t="s">
        <v>50</v>
      </c>
      <c r="E10" s="39" t="s">
        <v>81</v>
      </c>
      <c r="F10" s="40" t="s">
        <v>82</v>
      </c>
      <c r="G10" s="40">
        <v>30092</v>
      </c>
      <c r="H10" s="42" t="s">
        <v>53</v>
      </c>
      <c r="I10" s="43" t="s">
        <v>54</v>
      </c>
      <c r="J10" s="71">
        <v>124533.45</v>
      </c>
      <c r="K10" s="23"/>
      <c r="L10" s="45"/>
      <c r="M10" s="48" t="s">
        <v>41</v>
      </c>
      <c r="N10" s="46"/>
      <c r="O10" s="46"/>
      <c r="P10" s="49" t="str">
        <f>INDEX($D$4:$D$105,COUNTA($D$4:$D$105))</f>
        <v>100 Peachtree Street</v>
      </c>
      <c r="Q10" s="50"/>
      <c r="R10" s="50"/>
      <c r="S10" s="50"/>
      <c r="T10" s="50"/>
      <c r="U10" s="51"/>
      <c r="V10" s="46"/>
      <c r="W10" s="52" t="s">
        <v>44</v>
      </c>
      <c r="X10" s="46"/>
      <c r="Y10" s="49" t="str">
        <f>TEXT(INDEX($G$4:$G$105,COUNTA($G$4:$G$105)),0)</f>
        <v>30092</v>
      </c>
      <c r="Z10" s="50"/>
      <c r="AA10" s="50"/>
      <c r="AB10" s="50"/>
      <c r="AC10" s="50"/>
      <c r="AD10" s="51"/>
      <c r="AE10" s="47"/>
      <c r="AF10" s="23"/>
      <c r="AG10" s="23"/>
    </row>
    <row r="11" spans="1:33" x14ac:dyDescent="0.25">
      <c r="A11" s="32">
        <v>8</v>
      </c>
      <c r="B11" s="39"/>
      <c r="C11" s="39"/>
      <c r="D11" s="39"/>
      <c r="E11" s="39"/>
      <c r="F11" s="39"/>
      <c r="G11" s="39"/>
      <c r="H11" s="39"/>
      <c r="I11" s="40"/>
      <c r="J11" s="39"/>
      <c r="K11" s="23"/>
      <c r="L11" s="45"/>
      <c r="M11" s="46"/>
      <c r="N11" s="46"/>
      <c r="O11" s="46"/>
      <c r="P11" s="46"/>
      <c r="Q11" s="46"/>
      <c r="R11" s="46"/>
      <c r="S11" s="46"/>
      <c r="T11" s="46"/>
      <c r="U11" s="46"/>
      <c r="V11" s="46"/>
      <c r="W11" s="46"/>
      <c r="X11" s="46"/>
      <c r="Y11" s="46"/>
      <c r="Z11" s="46"/>
      <c r="AA11" s="46"/>
      <c r="AB11" s="46"/>
      <c r="AC11" s="46"/>
      <c r="AD11" s="46"/>
      <c r="AE11" s="47"/>
      <c r="AF11" s="23"/>
      <c r="AG11" s="23"/>
    </row>
    <row r="12" spans="1:33" x14ac:dyDescent="0.25">
      <c r="A12" s="32">
        <v>9</v>
      </c>
      <c r="B12" s="39"/>
      <c r="C12" s="39"/>
      <c r="D12" s="39"/>
      <c r="E12" s="39"/>
      <c r="F12" s="39"/>
      <c r="G12" s="39"/>
      <c r="H12" s="39"/>
      <c r="I12" s="40"/>
      <c r="J12" s="39"/>
      <c r="K12" s="23"/>
      <c r="L12" s="45"/>
      <c r="M12" s="52" t="s">
        <v>45</v>
      </c>
      <c r="N12" s="46"/>
      <c r="O12" s="46"/>
      <c r="P12" s="49" t="str">
        <f>INDEX($H$4:$H$105,COUNTA($H$4:$H$105))</f>
        <v>770.842.5902</v>
      </c>
      <c r="Q12" s="50"/>
      <c r="R12" s="50"/>
      <c r="S12" s="50"/>
      <c r="T12" s="50"/>
      <c r="U12" s="51"/>
      <c r="V12" s="46"/>
      <c r="W12" s="60" t="s">
        <v>99</v>
      </c>
      <c r="X12" s="46"/>
      <c r="Y12" s="49" t="str">
        <f>INDEX($I$4:$I$105,COUNTA($I$4:$I$105))</f>
        <v>Plan A</v>
      </c>
      <c r="Z12" s="50"/>
      <c r="AA12" s="50"/>
      <c r="AB12" s="50"/>
      <c r="AC12" s="50"/>
      <c r="AD12" s="51"/>
      <c r="AE12" s="47"/>
      <c r="AF12" s="23"/>
      <c r="AG12" s="23"/>
    </row>
    <row r="13" spans="1:33" x14ac:dyDescent="0.25">
      <c r="A13" s="32">
        <v>10</v>
      </c>
      <c r="B13" s="39"/>
      <c r="C13" s="39"/>
      <c r="D13" s="39"/>
      <c r="E13" s="39"/>
      <c r="F13" s="39"/>
      <c r="G13" s="39"/>
      <c r="H13" s="39"/>
      <c r="I13" s="40"/>
      <c r="J13" s="39"/>
      <c r="K13" s="23"/>
      <c r="L13" s="45"/>
      <c r="M13" s="46"/>
      <c r="N13" s="46"/>
      <c r="O13" s="46"/>
      <c r="P13" s="46"/>
      <c r="Q13" s="46"/>
      <c r="R13" s="46"/>
      <c r="S13" s="46"/>
      <c r="T13" s="46"/>
      <c r="U13" s="46"/>
      <c r="V13" s="46"/>
      <c r="W13" s="46"/>
      <c r="X13" s="46"/>
      <c r="Y13" s="46"/>
      <c r="Z13" s="46"/>
      <c r="AA13" s="46"/>
      <c r="AB13" s="46"/>
      <c r="AC13" s="46"/>
      <c r="AD13" s="46"/>
      <c r="AE13" s="47"/>
      <c r="AF13" s="23"/>
      <c r="AG13" s="23"/>
    </row>
    <row r="14" spans="1:33" x14ac:dyDescent="0.25">
      <c r="A14" s="32">
        <v>11</v>
      </c>
      <c r="B14" s="39"/>
      <c r="C14" s="39"/>
      <c r="D14" s="39"/>
      <c r="E14" s="39"/>
      <c r="F14" s="39"/>
      <c r="G14" s="39"/>
      <c r="H14" s="39"/>
      <c r="I14" s="40"/>
      <c r="J14" s="39"/>
      <c r="K14" s="23"/>
      <c r="L14" s="45"/>
      <c r="M14" s="52" t="s">
        <v>90</v>
      </c>
      <c r="N14" s="46"/>
      <c r="O14" s="46"/>
      <c r="P14" s="46"/>
      <c r="Q14" s="46"/>
      <c r="R14" s="46"/>
      <c r="S14" s="46"/>
      <c r="T14" s="46"/>
      <c r="U14" s="46"/>
      <c r="V14" s="46"/>
      <c r="W14" s="46"/>
      <c r="X14" s="46"/>
      <c r="Y14" s="49" t="str">
        <f>TEXT(INDEX($J$4:$J$105,COUNTA($J$4:$J$105)),"$#,###,###.##")</f>
        <v>$124,533.45</v>
      </c>
      <c r="Z14" s="50"/>
      <c r="AA14" s="50"/>
      <c r="AB14" s="50"/>
      <c r="AC14" s="50"/>
      <c r="AD14" s="51"/>
      <c r="AE14" s="47"/>
      <c r="AF14" s="23"/>
      <c r="AG14" s="23"/>
    </row>
    <row r="15" spans="1:33" x14ac:dyDescent="0.25">
      <c r="A15" s="32">
        <v>12</v>
      </c>
      <c r="B15" s="39"/>
      <c r="C15" s="39"/>
      <c r="D15" s="39"/>
      <c r="E15" s="39"/>
      <c r="F15" s="39"/>
      <c r="G15" s="39"/>
      <c r="H15" s="39"/>
      <c r="I15" s="40"/>
      <c r="J15" s="39"/>
      <c r="K15" s="23"/>
      <c r="L15" s="45"/>
      <c r="M15" s="46"/>
      <c r="N15" s="46"/>
      <c r="O15" s="46"/>
      <c r="P15" s="46"/>
      <c r="Q15" s="46"/>
      <c r="R15" s="46"/>
      <c r="S15" s="46"/>
      <c r="T15" s="46"/>
      <c r="U15" s="46"/>
      <c r="V15" s="46"/>
      <c r="W15" s="46"/>
      <c r="X15" s="46"/>
      <c r="Y15" s="46"/>
      <c r="Z15" s="46"/>
      <c r="AA15" s="46"/>
      <c r="AB15" s="46"/>
      <c r="AC15" s="46"/>
      <c r="AD15" s="46"/>
      <c r="AE15" s="47"/>
      <c r="AF15" s="23"/>
      <c r="AG15" s="23"/>
    </row>
    <row r="16" spans="1:33" x14ac:dyDescent="0.25">
      <c r="A16" s="32">
        <v>13</v>
      </c>
      <c r="B16" s="39"/>
      <c r="C16" s="39"/>
      <c r="D16" s="39"/>
      <c r="E16" s="39"/>
      <c r="F16" s="39"/>
      <c r="G16" s="39"/>
      <c r="H16" s="39"/>
      <c r="I16" s="40"/>
      <c r="J16" s="39"/>
      <c r="K16" s="23"/>
      <c r="L16" s="303" t="s">
        <v>91</v>
      </c>
      <c r="M16" s="304"/>
      <c r="N16" s="304"/>
      <c r="O16" s="304"/>
      <c r="P16" s="304"/>
      <c r="Q16" s="304"/>
      <c r="R16" s="304"/>
      <c r="S16" s="304"/>
      <c r="T16" s="304"/>
      <c r="U16" s="304"/>
      <c r="V16" s="304"/>
      <c r="W16" s="304"/>
      <c r="X16" s="304"/>
      <c r="Y16" s="304"/>
      <c r="Z16" s="304"/>
      <c r="AA16" s="304"/>
      <c r="AB16" s="304"/>
      <c r="AC16" s="304"/>
      <c r="AD16" s="304"/>
      <c r="AE16" s="305"/>
      <c r="AF16" s="23"/>
      <c r="AG16" s="23"/>
    </row>
    <row r="17" spans="1:33" ht="16.5" thickBot="1" x14ac:dyDescent="0.3">
      <c r="A17" s="32">
        <v>14</v>
      </c>
      <c r="B17" s="39"/>
      <c r="C17" s="39"/>
      <c r="D17" s="39"/>
      <c r="E17" s="39"/>
      <c r="F17" s="39"/>
      <c r="G17" s="39"/>
      <c r="H17" s="39"/>
      <c r="I17" s="40"/>
      <c r="J17" s="39"/>
      <c r="K17" s="23"/>
      <c r="L17" s="61"/>
      <c r="M17" s="62"/>
      <c r="N17" s="62"/>
      <c r="O17" s="62"/>
      <c r="P17" s="62"/>
      <c r="Q17" s="62"/>
      <c r="R17" s="62"/>
      <c r="S17" s="62"/>
      <c r="T17" s="62"/>
      <c r="U17" s="62"/>
      <c r="V17" s="62"/>
      <c r="W17" s="62"/>
      <c r="X17" s="62"/>
      <c r="Y17" s="62"/>
      <c r="Z17" s="62"/>
      <c r="AA17" s="62"/>
      <c r="AB17" s="62"/>
      <c r="AC17" s="62"/>
      <c r="AD17" s="62"/>
      <c r="AE17" s="63"/>
      <c r="AF17" s="23"/>
      <c r="AG17" s="23"/>
    </row>
    <row r="18" spans="1:33" x14ac:dyDescent="0.25">
      <c r="A18" s="32">
        <v>15</v>
      </c>
      <c r="B18" s="39"/>
      <c r="C18" s="39"/>
      <c r="D18" s="39"/>
      <c r="E18" s="39"/>
      <c r="F18" s="39"/>
      <c r="G18" s="39"/>
      <c r="H18" s="39"/>
      <c r="I18" s="40"/>
      <c r="J18" s="39"/>
      <c r="K18" s="23"/>
      <c r="L18" s="23"/>
      <c r="M18" s="23"/>
      <c r="N18" s="23"/>
      <c r="O18" s="23"/>
      <c r="P18" s="23"/>
      <c r="Q18" s="23"/>
      <c r="R18" s="23"/>
      <c r="S18" s="23"/>
      <c r="T18" s="23"/>
      <c r="U18" s="23"/>
      <c r="V18" s="23"/>
      <c r="W18" s="23"/>
      <c r="X18" s="23"/>
      <c r="Y18" s="23"/>
      <c r="Z18" s="23"/>
      <c r="AA18" s="23"/>
      <c r="AB18" s="23"/>
      <c r="AC18" s="23"/>
      <c r="AD18" s="23"/>
      <c r="AE18" s="23"/>
      <c r="AF18" s="23"/>
      <c r="AG18" s="23"/>
    </row>
    <row r="19" spans="1:33" x14ac:dyDescent="0.25">
      <c r="A19" s="32">
        <v>16</v>
      </c>
      <c r="B19" s="39"/>
      <c r="C19" s="39"/>
      <c r="D19" s="39"/>
      <c r="E19" s="39"/>
      <c r="F19" s="39"/>
      <c r="G19" s="39"/>
      <c r="H19" s="39"/>
      <c r="I19" s="40"/>
      <c r="J19" s="39"/>
      <c r="K19" s="23"/>
      <c r="L19" s="23"/>
      <c r="M19" s="23"/>
      <c r="N19" s="23"/>
      <c r="O19" s="23"/>
      <c r="P19" s="23"/>
      <c r="Q19" s="23"/>
      <c r="R19" s="23"/>
      <c r="S19" s="23"/>
      <c r="T19" s="23"/>
      <c r="U19" s="23"/>
      <c r="V19" s="23"/>
      <c r="W19" s="23"/>
      <c r="X19" s="23"/>
      <c r="Y19" s="23"/>
      <c r="Z19" s="23"/>
      <c r="AA19" s="23"/>
      <c r="AB19" s="23"/>
      <c r="AC19" s="23"/>
      <c r="AD19" s="23"/>
      <c r="AE19" s="23"/>
      <c r="AF19" s="23"/>
      <c r="AG19" s="23"/>
    </row>
    <row r="20" spans="1:33" x14ac:dyDescent="0.25">
      <c r="A20" s="32">
        <v>17</v>
      </c>
      <c r="B20" s="39"/>
      <c r="C20" s="39"/>
      <c r="D20" s="39"/>
      <c r="E20" s="39"/>
      <c r="F20" s="39"/>
      <c r="G20" s="39"/>
      <c r="H20" s="39"/>
      <c r="I20" s="40"/>
      <c r="J20" s="39"/>
      <c r="K20" s="23"/>
      <c r="L20" s="23"/>
      <c r="M20" s="23"/>
      <c r="N20" s="23"/>
      <c r="O20" s="23"/>
      <c r="P20" s="23"/>
      <c r="Q20" s="23"/>
      <c r="R20" s="23"/>
      <c r="S20" s="23"/>
      <c r="T20" s="23"/>
      <c r="U20" s="23"/>
      <c r="V20" s="23"/>
      <c r="W20" s="23"/>
      <c r="X20" s="23"/>
      <c r="Y20" s="23"/>
      <c r="Z20" s="23"/>
      <c r="AA20" s="23"/>
      <c r="AB20" s="23"/>
      <c r="AC20" s="23"/>
      <c r="AD20" s="23"/>
      <c r="AE20" s="23"/>
      <c r="AF20" s="23"/>
      <c r="AG20" s="23"/>
    </row>
    <row r="21" spans="1:33" x14ac:dyDescent="0.25">
      <c r="A21" s="32">
        <v>18</v>
      </c>
      <c r="B21" s="39"/>
      <c r="C21" s="39"/>
      <c r="D21" s="39"/>
      <c r="E21" s="39"/>
      <c r="F21" s="39"/>
      <c r="G21" s="39"/>
      <c r="H21" s="39"/>
      <c r="I21" s="40"/>
      <c r="J21" s="39"/>
      <c r="K21" s="23"/>
      <c r="L21" s="23"/>
      <c r="M21" s="23"/>
      <c r="N21" s="23"/>
      <c r="O21" s="23"/>
      <c r="P21" s="23"/>
      <c r="Q21" s="23"/>
      <c r="R21" s="23"/>
      <c r="S21" s="23"/>
      <c r="T21" s="23"/>
      <c r="U21" s="23"/>
      <c r="V21" s="23"/>
      <c r="W21" s="23"/>
      <c r="X21" s="23"/>
      <c r="Y21" s="23"/>
      <c r="Z21" s="23"/>
      <c r="AA21" s="23"/>
      <c r="AB21" s="23"/>
      <c r="AC21" s="23"/>
      <c r="AD21" s="23"/>
      <c r="AE21" s="23"/>
      <c r="AF21" s="23"/>
      <c r="AG21" s="23"/>
    </row>
    <row r="22" spans="1:33" x14ac:dyDescent="0.25">
      <c r="A22" s="32">
        <v>19</v>
      </c>
      <c r="B22" s="39"/>
      <c r="C22" s="39"/>
      <c r="D22" s="39"/>
      <c r="E22" s="39"/>
      <c r="F22" s="39"/>
      <c r="G22" s="39"/>
      <c r="H22" s="39"/>
      <c r="I22" s="40"/>
      <c r="J22" s="39"/>
      <c r="K22" s="23"/>
      <c r="L22" s="23"/>
      <c r="M22" s="23"/>
      <c r="N22" s="23"/>
      <c r="O22" s="23"/>
      <c r="P22" s="23"/>
      <c r="Q22" s="23"/>
      <c r="R22" s="23"/>
      <c r="S22" s="23"/>
      <c r="T22" s="23"/>
      <c r="U22" s="23"/>
      <c r="V22" s="23"/>
      <c r="W22" s="23"/>
      <c r="X22" s="23"/>
      <c r="Y22" s="23"/>
      <c r="Z22" s="23"/>
      <c r="AA22" s="23"/>
      <c r="AB22" s="23"/>
      <c r="AC22" s="23"/>
      <c r="AD22" s="23"/>
      <c r="AE22" s="23"/>
      <c r="AF22" s="23"/>
      <c r="AG22" s="23"/>
    </row>
    <row r="23" spans="1:33" x14ac:dyDescent="0.25">
      <c r="A23" s="32">
        <v>20</v>
      </c>
      <c r="B23" s="39"/>
      <c r="C23" s="39"/>
      <c r="D23" s="39"/>
      <c r="E23" s="39"/>
      <c r="F23" s="39"/>
      <c r="G23" s="39"/>
      <c r="H23" s="39"/>
      <c r="I23" s="40"/>
      <c r="J23" s="39"/>
      <c r="K23" s="23"/>
      <c r="L23" s="23"/>
      <c r="M23" s="23"/>
      <c r="N23" s="23"/>
      <c r="O23" s="23"/>
      <c r="P23" s="23"/>
      <c r="Q23" s="23"/>
      <c r="R23" s="23"/>
      <c r="S23" s="23"/>
      <c r="T23" s="23"/>
      <c r="U23" s="23"/>
      <c r="V23" s="23"/>
      <c r="W23" s="23"/>
      <c r="X23" s="23"/>
      <c r="Y23" s="23"/>
      <c r="Z23" s="23"/>
      <c r="AA23" s="23"/>
      <c r="AB23" s="23"/>
      <c r="AC23" s="23"/>
      <c r="AD23" s="23"/>
      <c r="AE23" s="23"/>
      <c r="AF23" s="23"/>
      <c r="AG23" s="23"/>
    </row>
    <row r="24" spans="1:33" x14ac:dyDescent="0.25">
      <c r="A24" s="32">
        <v>21</v>
      </c>
      <c r="B24" s="39"/>
      <c r="C24" s="39"/>
      <c r="D24" s="39"/>
      <c r="E24" s="39"/>
      <c r="F24" s="39"/>
      <c r="G24" s="39"/>
      <c r="H24" s="39"/>
      <c r="I24" s="40"/>
      <c r="J24" s="39"/>
      <c r="K24" s="23"/>
      <c r="L24" s="23"/>
      <c r="M24" s="23"/>
      <c r="N24" s="23"/>
      <c r="O24" s="23"/>
      <c r="P24" s="23"/>
      <c r="Q24" s="23"/>
      <c r="R24" s="23"/>
      <c r="S24" s="23"/>
      <c r="T24" s="23"/>
      <c r="U24" s="23"/>
      <c r="V24" s="23"/>
      <c r="W24" s="23"/>
      <c r="X24" s="23"/>
      <c r="Y24" s="23"/>
      <c r="Z24" s="23"/>
      <c r="AA24" s="23"/>
      <c r="AB24" s="23"/>
      <c r="AC24" s="23"/>
      <c r="AD24" s="23"/>
      <c r="AE24" s="23"/>
      <c r="AF24" s="23"/>
      <c r="AG24" s="23"/>
    </row>
    <row r="25" spans="1:33" x14ac:dyDescent="0.25">
      <c r="A25" s="32">
        <v>22</v>
      </c>
      <c r="B25" s="39"/>
      <c r="C25" s="39"/>
      <c r="D25" s="39"/>
      <c r="E25" s="39"/>
      <c r="F25" s="39"/>
      <c r="G25" s="39"/>
      <c r="H25" s="39"/>
      <c r="I25" s="40"/>
      <c r="J25" s="39"/>
      <c r="K25" s="23"/>
      <c r="L25" s="23"/>
      <c r="M25" s="23"/>
      <c r="N25" s="23"/>
      <c r="O25" s="23"/>
      <c r="P25" s="23"/>
      <c r="Q25" s="23"/>
      <c r="R25" s="23"/>
      <c r="S25" s="23"/>
      <c r="T25" s="23"/>
      <c r="U25" s="23"/>
      <c r="V25" s="23"/>
      <c r="W25" s="23"/>
      <c r="X25" s="23"/>
      <c r="Y25" s="23"/>
      <c r="Z25" s="23"/>
      <c r="AA25" s="23"/>
      <c r="AB25" s="23"/>
      <c r="AC25" s="23"/>
      <c r="AD25" s="23"/>
      <c r="AE25" s="23"/>
      <c r="AF25" s="23"/>
      <c r="AG25" s="23"/>
    </row>
    <row r="26" spans="1:33" x14ac:dyDescent="0.25">
      <c r="A26" s="32">
        <v>23</v>
      </c>
      <c r="B26" s="39"/>
      <c r="C26" s="39"/>
      <c r="D26" s="39"/>
      <c r="E26" s="39"/>
      <c r="F26" s="39"/>
      <c r="G26" s="39"/>
      <c r="H26" s="39"/>
      <c r="I26" s="40"/>
      <c r="J26" s="39"/>
      <c r="K26" s="23"/>
      <c r="L26" s="23"/>
      <c r="M26" s="23"/>
      <c r="N26" s="23"/>
      <c r="O26" s="23"/>
      <c r="P26" s="23"/>
      <c r="Q26" s="23"/>
      <c r="R26" s="23"/>
      <c r="S26" s="23"/>
      <c r="T26" s="23"/>
      <c r="U26" s="23"/>
      <c r="V26" s="23"/>
      <c r="W26" s="23"/>
      <c r="X26" s="23"/>
      <c r="Y26" s="23"/>
      <c r="Z26" s="23"/>
      <c r="AA26" s="23"/>
      <c r="AB26" s="23"/>
      <c r="AC26" s="23"/>
      <c r="AD26" s="23"/>
      <c r="AE26" s="23"/>
      <c r="AF26" s="23"/>
      <c r="AG26" s="23"/>
    </row>
    <row r="27" spans="1:33" x14ac:dyDescent="0.25">
      <c r="A27" s="32">
        <v>24</v>
      </c>
      <c r="B27" s="39"/>
      <c r="C27" s="39"/>
      <c r="D27" s="39"/>
      <c r="E27" s="39"/>
      <c r="F27" s="39"/>
      <c r="G27" s="39"/>
      <c r="H27" s="39"/>
      <c r="I27" s="40"/>
      <c r="J27" s="39"/>
      <c r="K27" s="23"/>
      <c r="L27" s="23"/>
      <c r="M27" s="23"/>
      <c r="N27" s="23"/>
      <c r="O27" s="23"/>
      <c r="P27" s="23"/>
      <c r="Q27" s="23"/>
      <c r="R27" s="23"/>
      <c r="S27" s="23"/>
      <c r="T27" s="23"/>
      <c r="U27" s="23"/>
      <c r="V27" s="23"/>
      <c r="W27" s="23"/>
      <c r="X27" s="23"/>
      <c r="Y27" s="23"/>
      <c r="Z27" s="23"/>
      <c r="AA27" s="23"/>
      <c r="AB27" s="23"/>
      <c r="AC27" s="23"/>
      <c r="AD27" s="23"/>
      <c r="AE27" s="23"/>
      <c r="AF27" s="23"/>
      <c r="AG27" s="23"/>
    </row>
    <row r="28" spans="1:33" x14ac:dyDescent="0.25">
      <c r="A28" s="32">
        <v>25</v>
      </c>
      <c r="B28" s="39"/>
      <c r="C28" s="39"/>
      <c r="D28" s="39"/>
      <c r="E28" s="39"/>
      <c r="F28" s="39"/>
      <c r="G28" s="39"/>
      <c r="H28" s="39"/>
      <c r="I28" s="40"/>
      <c r="J28" s="39"/>
      <c r="K28" s="23"/>
      <c r="L28" s="23"/>
      <c r="M28" s="23"/>
      <c r="N28" s="23"/>
      <c r="O28" s="23"/>
      <c r="P28" s="23"/>
      <c r="Q28" s="23"/>
      <c r="R28" s="23"/>
      <c r="S28" s="23"/>
      <c r="T28" s="23"/>
      <c r="U28" s="23"/>
      <c r="V28" s="23"/>
      <c r="W28" s="23"/>
      <c r="X28" s="23"/>
      <c r="Y28" s="23"/>
      <c r="Z28" s="23"/>
      <c r="AA28" s="23"/>
      <c r="AB28" s="23"/>
      <c r="AC28" s="23"/>
      <c r="AD28" s="23"/>
      <c r="AE28" s="23"/>
      <c r="AF28" s="23"/>
      <c r="AG28" s="23"/>
    </row>
    <row r="29" spans="1:33" x14ac:dyDescent="0.25">
      <c r="A29" s="32">
        <v>26</v>
      </c>
      <c r="B29" s="39"/>
      <c r="C29" s="39"/>
      <c r="D29" s="39"/>
      <c r="E29" s="39"/>
      <c r="F29" s="39"/>
      <c r="G29" s="39"/>
      <c r="H29" s="39"/>
      <c r="I29" s="40"/>
      <c r="J29" s="39"/>
      <c r="K29" s="23"/>
      <c r="L29" s="23"/>
      <c r="M29" s="23"/>
      <c r="N29" s="23"/>
      <c r="O29" s="23"/>
      <c r="P29" s="23"/>
      <c r="Q29" s="23"/>
      <c r="R29" s="23"/>
      <c r="S29" s="23"/>
      <c r="T29" s="23"/>
      <c r="U29" s="23"/>
      <c r="V29" s="23"/>
      <c r="W29" s="23"/>
      <c r="X29" s="23"/>
      <c r="Y29" s="23"/>
      <c r="Z29" s="23"/>
      <c r="AA29" s="23"/>
      <c r="AB29" s="23"/>
      <c r="AC29" s="23"/>
      <c r="AD29" s="23"/>
      <c r="AE29" s="23"/>
      <c r="AF29" s="23"/>
      <c r="AG29" s="23"/>
    </row>
    <row r="30" spans="1:33" x14ac:dyDescent="0.25">
      <c r="A30" s="32">
        <v>27</v>
      </c>
      <c r="B30" s="39"/>
      <c r="C30" s="39"/>
      <c r="D30" s="39"/>
      <c r="E30" s="39"/>
      <c r="F30" s="39"/>
      <c r="G30" s="39"/>
      <c r="H30" s="39"/>
      <c r="I30" s="40"/>
      <c r="J30" s="39"/>
      <c r="K30" s="23"/>
      <c r="L30" s="23"/>
      <c r="M30" s="23"/>
      <c r="N30" s="23"/>
      <c r="O30" s="23"/>
      <c r="P30" s="23"/>
      <c r="Q30" s="23"/>
      <c r="R30" s="23"/>
      <c r="S30" s="23"/>
      <c r="T30" s="23"/>
      <c r="U30" s="23"/>
      <c r="V30" s="23"/>
      <c r="W30" s="23"/>
      <c r="X30" s="23"/>
      <c r="Y30" s="23"/>
      <c r="Z30" s="23"/>
      <c r="AA30" s="23"/>
      <c r="AB30" s="23"/>
      <c r="AC30" s="23"/>
      <c r="AD30" s="23"/>
      <c r="AE30" s="23"/>
      <c r="AF30" s="23"/>
      <c r="AG30" s="23"/>
    </row>
    <row r="31" spans="1:33" x14ac:dyDescent="0.25">
      <c r="A31" s="32">
        <v>28</v>
      </c>
      <c r="B31" s="39"/>
      <c r="C31" s="39"/>
      <c r="D31" s="39"/>
      <c r="E31" s="39"/>
      <c r="F31" s="39"/>
      <c r="G31" s="39"/>
      <c r="H31" s="39"/>
      <c r="I31" s="40"/>
      <c r="J31" s="39"/>
      <c r="K31" s="23"/>
      <c r="L31" s="23"/>
      <c r="M31" s="23"/>
      <c r="N31" s="23"/>
      <c r="O31" s="23"/>
      <c r="P31" s="23"/>
      <c r="Q31" s="23"/>
      <c r="R31" s="23"/>
      <c r="S31" s="23"/>
      <c r="T31" s="23"/>
      <c r="U31" s="23"/>
      <c r="V31" s="23"/>
      <c r="W31" s="23"/>
      <c r="X31" s="23"/>
      <c r="Y31" s="23"/>
      <c r="Z31" s="23"/>
      <c r="AA31" s="23"/>
      <c r="AB31" s="23"/>
      <c r="AC31" s="23"/>
      <c r="AD31" s="23"/>
      <c r="AE31" s="23"/>
      <c r="AF31" s="23"/>
      <c r="AG31" s="23"/>
    </row>
    <row r="32" spans="1:33" x14ac:dyDescent="0.25">
      <c r="A32" s="32">
        <v>29</v>
      </c>
      <c r="B32" s="39"/>
      <c r="C32" s="39"/>
      <c r="D32" s="39"/>
      <c r="E32" s="39"/>
      <c r="F32" s="39"/>
      <c r="G32" s="39"/>
      <c r="H32" s="39"/>
      <c r="I32" s="40"/>
      <c r="J32" s="39"/>
      <c r="K32" s="23"/>
      <c r="L32" s="23"/>
      <c r="M32" s="23"/>
      <c r="N32" s="23"/>
      <c r="O32" s="23"/>
      <c r="P32" s="23"/>
      <c r="Q32" s="23"/>
      <c r="R32" s="23"/>
      <c r="S32" s="23"/>
      <c r="T32" s="23"/>
      <c r="U32" s="23"/>
      <c r="V32" s="23"/>
      <c r="W32" s="23"/>
      <c r="X32" s="23"/>
      <c r="Y32" s="23"/>
      <c r="Z32" s="23"/>
      <c r="AA32" s="23"/>
      <c r="AB32" s="23"/>
      <c r="AC32" s="23"/>
      <c r="AD32" s="23"/>
      <c r="AE32" s="23"/>
      <c r="AF32" s="23"/>
      <c r="AG32" s="23"/>
    </row>
    <row r="33" spans="1:33" x14ac:dyDescent="0.25">
      <c r="A33" s="32">
        <v>30</v>
      </c>
      <c r="B33" s="39"/>
      <c r="C33" s="39"/>
      <c r="D33" s="39"/>
      <c r="E33" s="39"/>
      <c r="F33" s="39"/>
      <c r="G33" s="39"/>
      <c r="H33" s="39"/>
      <c r="I33" s="40"/>
      <c r="J33" s="39"/>
      <c r="K33" s="23"/>
      <c r="L33" s="23"/>
      <c r="M33" s="23"/>
      <c r="N33" s="23"/>
      <c r="O33" s="23"/>
      <c r="P33" s="23"/>
      <c r="Q33" s="23"/>
      <c r="R33" s="23"/>
      <c r="S33" s="23"/>
      <c r="T33" s="23"/>
      <c r="U33" s="23"/>
      <c r="V33" s="23"/>
      <c r="W33" s="23"/>
      <c r="X33" s="23"/>
      <c r="Y33" s="23"/>
      <c r="Z33" s="23"/>
      <c r="AA33" s="23"/>
      <c r="AB33" s="23"/>
      <c r="AC33" s="23"/>
      <c r="AD33" s="23"/>
      <c r="AE33" s="23"/>
      <c r="AF33" s="23"/>
      <c r="AG33" s="23"/>
    </row>
    <row r="34" spans="1:33" x14ac:dyDescent="0.25">
      <c r="A34" s="32">
        <v>31</v>
      </c>
      <c r="B34" s="39"/>
      <c r="C34" s="39"/>
      <c r="D34" s="39"/>
      <c r="E34" s="39"/>
      <c r="F34" s="39"/>
      <c r="G34" s="39"/>
      <c r="H34" s="39"/>
      <c r="I34" s="40"/>
      <c r="J34" s="39"/>
      <c r="K34" s="23"/>
      <c r="L34" s="23"/>
      <c r="M34" s="23"/>
      <c r="N34" s="23"/>
      <c r="O34" s="23"/>
      <c r="P34" s="23"/>
      <c r="Q34" s="23"/>
      <c r="R34" s="23"/>
      <c r="S34" s="23"/>
      <c r="T34" s="23"/>
      <c r="U34" s="23"/>
      <c r="V34" s="23"/>
      <c r="W34" s="23"/>
      <c r="X34" s="23"/>
      <c r="Y34" s="23"/>
      <c r="Z34" s="23"/>
      <c r="AA34" s="23"/>
      <c r="AB34" s="23"/>
      <c r="AC34" s="23"/>
      <c r="AD34" s="23"/>
      <c r="AE34" s="23"/>
      <c r="AF34" s="23"/>
      <c r="AG34" s="23"/>
    </row>
    <row r="35" spans="1:33" x14ac:dyDescent="0.25">
      <c r="A35" s="32">
        <v>32</v>
      </c>
      <c r="B35" s="39"/>
      <c r="C35" s="39"/>
      <c r="D35" s="39"/>
      <c r="E35" s="39"/>
      <c r="F35" s="39"/>
      <c r="G35" s="39"/>
      <c r="H35" s="39"/>
      <c r="I35" s="40"/>
      <c r="J35" s="39"/>
      <c r="K35" s="23"/>
      <c r="L35" s="23"/>
      <c r="M35" s="23"/>
      <c r="N35" s="23"/>
      <c r="O35" s="23"/>
      <c r="P35" s="23"/>
      <c r="Q35" s="23"/>
      <c r="R35" s="23"/>
      <c r="S35" s="23"/>
      <c r="T35" s="23"/>
      <c r="U35" s="23"/>
      <c r="V35" s="23"/>
      <c r="W35" s="23"/>
      <c r="X35" s="23"/>
      <c r="Y35" s="23"/>
      <c r="Z35" s="23"/>
      <c r="AA35" s="23"/>
      <c r="AB35" s="23"/>
      <c r="AC35" s="23"/>
      <c r="AD35" s="23"/>
      <c r="AE35" s="23"/>
      <c r="AF35" s="23"/>
      <c r="AG35" s="23"/>
    </row>
    <row r="36" spans="1:33" x14ac:dyDescent="0.25">
      <c r="A36" s="32">
        <v>33</v>
      </c>
      <c r="B36" s="39"/>
      <c r="C36" s="39"/>
      <c r="D36" s="39"/>
      <c r="E36" s="39"/>
      <c r="F36" s="39"/>
      <c r="G36" s="39"/>
      <c r="H36" s="39"/>
      <c r="I36" s="40"/>
      <c r="J36" s="39"/>
      <c r="K36" s="23"/>
      <c r="L36" s="23"/>
      <c r="M36" s="23"/>
      <c r="N36" s="23"/>
      <c r="O36" s="23"/>
      <c r="P36" s="23"/>
      <c r="Q36" s="23"/>
      <c r="R36" s="23"/>
      <c r="S36" s="23"/>
      <c r="T36" s="23"/>
      <c r="U36" s="23"/>
      <c r="V36" s="23"/>
      <c r="W36" s="23"/>
      <c r="X36" s="23"/>
      <c r="Y36" s="23"/>
      <c r="Z36" s="23"/>
      <c r="AA36" s="23"/>
      <c r="AB36" s="23"/>
      <c r="AC36" s="23"/>
      <c r="AD36" s="23"/>
      <c r="AE36" s="23"/>
      <c r="AF36" s="23"/>
      <c r="AG36" s="23"/>
    </row>
    <row r="37" spans="1:33" x14ac:dyDescent="0.25">
      <c r="A37" s="32">
        <v>34</v>
      </c>
      <c r="B37" s="39"/>
      <c r="C37" s="39"/>
      <c r="D37" s="39"/>
      <c r="E37" s="39"/>
      <c r="F37" s="39"/>
      <c r="G37" s="39"/>
      <c r="H37" s="39"/>
      <c r="I37" s="40"/>
      <c r="J37" s="39"/>
      <c r="K37" s="23"/>
      <c r="L37" s="23"/>
      <c r="M37" s="23"/>
      <c r="N37" s="23"/>
      <c r="O37" s="23"/>
      <c r="P37" s="23"/>
      <c r="Q37" s="23"/>
      <c r="R37" s="23"/>
      <c r="S37" s="23"/>
      <c r="T37" s="23"/>
      <c r="U37" s="23"/>
      <c r="V37" s="23"/>
      <c r="W37" s="23"/>
      <c r="X37" s="23"/>
      <c r="Y37" s="23"/>
      <c r="Z37" s="23"/>
      <c r="AA37" s="23"/>
      <c r="AB37" s="23"/>
      <c r="AC37" s="23"/>
      <c r="AD37" s="23"/>
      <c r="AE37" s="23"/>
      <c r="AF37" s="23"/>
      <c r="AG37" s="23"/>
    </row>
    <row r="38" spans="1:33" x14ac:dyDescent="0.25">
      <c r="A38" s="32">
        <v>35</v>
      </c>
      <c r="B38" s="39"/>
      <c r="C38" s="39"/>
      <c r="D38" s="39"/>
      <c r="E38" s="39"/>
      <c r="F38" s="39"/>
      <c r="G38" s="39"/>
      <c r="H38" s="39"/>
      <c r="I38" s="40"/>
      <c r="J38" s="39"/>
      <c r="K38" s="23"/>
      <c r="L38" s="23"/>
      <c r="M38" s="23"/>
      <c r="N38" s="23"/>
      <c r="O38" s="23"/>
      <c r="P38" s="23"/>
      <c r="Q38" s="23"/>
      <c r="R38" s="23"/>
      <c r="S38" s="23"/>
      <c r="T38" s="23"/>
      <c r="U38" s="23"/>
      <c r="V38" s="23"/>
      <c r="W38" s="23"/>
      <c r="X38" s="23"/>
      <c r="Y38" s="23"/>
      <c r="Z38" s="23"/>
      <c r="AA38" s="23"/>
      <c r="AB38" s="23"/>
      <c r="AC38" s="23"/>
      <c r="AD38" s="23"/>
      <c r="AE38" s="23"/>
      <c r="AF38" s="23"/>
      <c r="AG38" s="23"/>
    </row>
    <row r="39" spans="1:33" x14ac:dyDescent="0.25">
      <c r="A39" s="32">
        <v>36</v>
      </c>
      <c r="B39" s="39"/>
      <c r="C39" s="39"/>
      <c r="D39" s="39"/>
      <c r="E39" s="39"/>
      <c r="F39" s="39"/>
      <c r="G39" s="39"/>
      <c r="H39" s="39"/>
      <c r="I39" s="40"/>
      <c r="J39" s="39"/>
      <c r="K39" s="23"/>
      <c r="L39" s="23"/>
      <c r="M39" s="23"/>
      <c r="N39" s="23"/>
      <c r="O39" s="23"/>
      <c r="P39" s="23"/>
      <c r="Q39" s="23"/>
      <c r="R39" s="23"/>
      <c r="S39" s="23"/>
      <c r="T39" s="23"/>
      <c r="U39" s="23"/>
      <c r="V39" s="23"/>
      <c r="W39" s="23"/>
      <c r="X39" s="23"/>
      <c r="Y39" s="23"/>
      <c r="Z39" s="23"/>
      <c r="AA39" s="23"/>
      <c r="AB39" s="23"/>
      <c r="AC39" s="23"/>
      <c r="AD39" s="23"/>
      <c r="AE39" s="23"/>
      <c r="AF39" s="23"/>
      <c r="AG39" s="23"/>
    </row>
    <row r="40" spans="1:33" x14ac:dyDescent="0.25">
      <c r="A40" s="32">
        <v>37</v>
      </c>
      <c r="B40" s="39"/>
      <c r="C40" s="39"/>
      <c r="D40" s="39"/>
      <c r="E40" s="39"/>
      <c r="F40" s="39"/>
      <c r="G40" s="39"/>
      <c r="H40" s="39"/>
      <c r="I40" s="40"/>
      <c r="J40" s="39"/>
      <c r="K40" s="23"/>
      <c r="L40" s="23"/>
      <c r="M40" s="23"/>
      <c r="N40" s="23"/>
      <c r="O40" s="23"/>
      <c r="P40" s="23"/>
      <c r="Q40" s="23"/>
      <c r="R40" s="23"/>
      <c r="S40" s="23"/>
      <c r="T40" s="23"/>
      <c r="U40" s="23"/>
      <c r="V40" s="23"/>
      <c r="W40" s="23"/>
      <c r="X40" s="23"/>
      <c r="Y40" s="23"/>
      <c r="Z40" s="23"/>
      <c r="AA40" s="23"/>
      <c r="AB40" s="23"/>
      <c r="AC40" s="23"/>
      <c r="AD40" s="23"/>
      <c r="AE40" s="23"/>
      <c r="AF40" s="23"/>
      <c r="AG40" s="23"/>
    </row>
    <row r="41" spans="1:33" x14ac:dyDescent="0.25">
      <c r="A41" s="32">
        <v>38</v>
      </c>
      <c r="B41" s="39"/>
      <c r="C41" s="39"/>
      <c r="D41" s="39"/>
      <c r="E41" s="39"/>
      <c r="F41" s="39"/>
      <c r="G41" s="39"/>
      <c r="H41" s="39"/>
      <c r="I41" s="40"/>
      <c r="J41" s="39"/>
      <c r="K41" s="23"/>
      <c r="L41" s="23"/>
      <c r="M41" s="23"/>
      <c r="N41" s="23"/>
      <c r="O41" s="23"/>
      <c r="P41" s="23"/>
      <c r="Q41" s="23"/>
      <c r="R41" s="23"/>
      <c r="S41" s="23"/>
      <c r="T41" s="23"/>
      <c r="U41" s="23"/>
      <c r="V41" s="23"/>
      <c r="W41" s="23"/>
      <c r="X41" s="23"/>
      <c r="Y41" s="23"/>
      <c r="Z41" s="23"/>
      <c r="AA41" s="23"/>
      <c r="AB41" s="23"/>
      <c r="AC41" s="23"/>
      <c r="AD41" s="23"/>
      <c r="AE41" s="23"/>
      <c r="AF41" s="23"/>
      <c r="AG41" s="23"/>
    </row>
    <row r="42" spans="1:33" x14ac:dyDescent="0.25">
      <c r="A42" s="32">
        <v>39</v>
      </c>
      <c r="B42" s="39"/>
      <c r="C42" s="39"/>
      <c r="D42" s="39"/>
      <c r="E42" s="39"/>
      <c r="F42" s="39"/>
      <c r="G42" s="39"/>
      <c r="H42" s="39"/>
      <c r="I42" s="40"/>
      <c r="J42" s="39"/>
      <c r="K42" s="23"/>
      <c r="L42" s="23"/>
      <c r="M42" s="23"/>
      <c r="N42" s="23"/>
      <c r="O42" s="23"/>
      <c r="P42" s="23"/>
      <c r="Q42" s="23"/>
      <c r="R42" s="23"/>
      <c r="S42" s="23"/>
      <c r="T42" s="23"/>
      <c r="U42" s="23"/>
      <c r="V42" s="23"/>
      <c r="W42" s="23"/>
      <c r="X42" s="23"/>
      <c r="Y42" s="23"/>
      <c r="Z42" s="23"/>
      <c r="AA42" s="23"/>
      <c r="AB42" s="23"/>
      <c r="AC42" s="23"/>
      <c r="AD42" s="23"/>
      <c r="AE42" s="23"/>
      <c r="AF42" s="23"/>
      <c r="AG42" s="23"/>
    </row>
    <row r="43" spans="1:33" x14ac:dyDescent="0.25">
      <c r="A43" s="32">
        <v>40</v>
      </c>
      <c r="B43" s="39"/>
      <c r="C43" s="39"/>
      <c r="D43" s="39"/>
      <c r="E43" s="39"/>
      <c r="F43" s="39"/>
      <c r="G43" s="39"/>
      <c r="H43" s="39"/>
      <c r="I43" s="40"/>
      <c r="J43" s="39"/>
      <c r="K43" s="23"/>
      <c r="L43" s="23"/>
      <c r="M43" s="23"/>
      <c r="N43" s="23"/>
      <c r="O43" s="23"/>
      <c r="P43" s="23"/>
      <c r="Q43" s="23"/>
      <c r="R43" s="23"/>
      <c r="S43" s="23"/>
      <c r="T43" s="23"/>
      <c r="U43" s="23"/>
      <c r="V43" s="23"/>
      <c r="W43" s="23"/>
      <c r="X43" s="23"/>
      <c r="Y43" s="23"/>
      <c r="Z43" s="23"/>
      <c r="AA43" s="23"/>
      <c r="AB43" s="23"/>
      <c r="AC43" s="23"/>
      <c r="AD43" s="23"/>
      <c r="AE43" s="23"/>
      <c r="AF43" s="23"/>
      <c r="AG43" s="23"/>
    </row>
    <row r="44" spans="1:33" x14ac:dyDescent="0.25">
      <c r="A44" s="32">
        <v>41</v>
      </c>
      <c r="B44" s="39"/>
      <c r="C44" s="39"/>
      <c r="D44" s="39"/>
      <c r="E44" s="39"/>
      <c r="F44" s="39"/>
      <c r="G44" s="39"/>
      <c r="H44" s="39"/>
      <c r="I44" s="40"/>
      <c r="J44" s="39"/>
      <c r="K44" s="23"/>
      <c r="L44" s="23"/>
      <c r="M44" s="23"/>
      <c r="N44" s="23"/>
      <c r="O44" s="23"/>
      <c r="P44" s="23"/>
      <c r="Q44" s="23"/>
      <c r="R44" s="23"/>
      <c r="S44" s="23"/>
      <c r="T44" s="23"/>
      <c r="U44" s="23"/>
      <c r="V44" s="23"/>
      <c r="W44" s="23"/>
      <c r="X44" s="23"/>
      <c r="Y44" s="23"/>
      <c r="Z44" s="23"/>
      <c r="AA44" s="23"/>
      <c r="AB44" s="23"/>
      <c r="AC44" s="23"/>
      <c r="AD44" s="23"/>
      <c r="AE44" s="23"/>
      <c r="AF44" s="23"/>
      <c r="AG44" s="23"/>
    </row>
    <row r="45" spans="1:33" x14ac:dyDescent="0.25">
      <c r="A45" s="32">
        <v>42</v>
      </c>
      <c r="B45" s="39"/>
      <c r="C45" s="39"/>
      <c r="D45" s="39"/>
      <c r="E45" s="39"/>
      <c r="F45" s="39"/>
      <c r="G45" s="39"/>
      <c r="H45" s="39"/>
      <c r="I45" s="40"/>
      <c r="J45" s="39"/>
      <c r="K45" s="23"/>
      <c r="L45" s="23"/>
      <c r="M45" s="23"/>
      <c r="N45" s="23"/>
      <c r="O45" s="23"/>
      <c r="P45" s="23"/>
      <c r="Q45" s="23"/>
      <c r="R45" s="23"/>
      <c r="S45" s="23"/>
      <c r="T45" s="23"/>
      <c r="U45" s="23"/>
      <c r="V45" s="23"/>
      <c r="W45" s="23"/>
      <c r="X45" s="23"/>
      <c r="Y45" s="23"/>
      <c r="Z45" s="23"/>
      <c r="AA45" s="23"/>
      <c r="AB45" s="23"/>
      <c r="AC45" s="23"/>
      <c r="AD45" s="23"/>
      <c r="AE45" s="23"/>
      <c r="AF45" s="23"/>
      <c r="AG45" s="23"/>
    </row>
    <row r="46" spans="1:33" x14ac:dyDescent="0.25">
      <c r="A46" s="32">
        <v>43</v>
      </c>
      <c r="B46" s="39"/>
      <c r="C46" s="39"/>
      <c r="D46" s="39"/>
      <c r="E46" s="39"/>
      <c r="F46" s="39"/>
      <c r="G46" s="39"/>
      <c r="H46" s="39"/>
      <c r="I46" s="40"/>
      <c r="J46" s="39"/>
      <c r="K46" s="23"/>
      <c r="L46" s="23"/>
      <c r="M46" s="23"/>
      <c r="N46" s="23"/>
      <c r="O46" s="23"/>
      <c r="P46" s="23"/>
      <c r="Q46" s="23"/>
      <c r="R46" s="23"/>
      <c r="S46" s="23"/>
      <c r="T46" s="23"/>
      <c r="U46" s="23"/>
      <c r="V46" s="23"/>
      <c r="W46" s="23"/>
      <c r="X46" s="23"/>
      <c r="Y46" s="23"/>
      <c r="Z46" s="23"/>
      <c r="AA46" s="23"/>
      <c r="AB46" s="23"/>
      <c r="AC46" s="23"/>
      <c r="AD46" s="23"/>
      <c r="AE46" s="23"/>
      <c r="AF46" s="23"/>
      <c r="AG46" s="23"/>
    </row>
    <row r="47" spans="1:33" x14ac:dyDescent="0.25">
      <c r="A47" s="32">
        <v>44</v>
      </c>
      <c r="B47" s="39"/>
      <c r="C47" s="39"/>
      <c r="D47" s="39"/>
      <c r="E47" s="39"/>
      <c r="F47" s="39"/>
      <c r="G47" s="39"/>
      <c r="H47" s="39"/>
      <c r="I47" s="40"/>
      <c r="J47" s="39"/>
      <c r="K47" s="23"/>
      <c r="L47" s="23"/>
      <c r="M47" s="23"/>
      <c r="N47" s="23"/>
      <c r="O47" s="23"/>
      <c r="P47" s="23"/>
      <c r="Q47" s="23"/>
      <c r="R47" s="23"/>
      <c r="S47" s="23"/>
      <c r="T47" s="23"/>
      <c r="U47" s="23"/>
      <c r="V47" s="23"/>
      <c r="W47" s="23"/>
      <c r="X47" s="23"/>
      <c r="Y47" s="23"/>
      <c r="Z47" s="23"/>
      <c r="AA47" s="23"/>
      <c r="AB47" s="23"/>
      <c r="AC47" s="23"/>
      <c r="AD47" s="23"/>
      <c r="AE47" s="23"/>
      <c r="AF47" s="23"/>
      <c r="AG47" s="23"/>
    </row>
    <row r="48" spans="1:33" x14ac:dyDescent="0.25">
      <c r="A48" s="32">
        <v>45</v>
      </c>
      <c r="B48" s="39"/>
      <c r="C48" s="39"/>
      <c r="D48" s="39"/>
      <c r="E48" s="39"/>
      <c r="F48" s="39"/>
      <c r="G48" s="39"/>
      <c r="H48" s="39"/>
      <c r="I48" s="40"/>
      <c r="J48" s="39"/>
      <c r="K48" s="23"/>
      <c r="L48" s="23"/>
      <c r="M48" s="23"/>
      <c r="N48" s="23"/>
      <c r="O48" s="23"/>
      <c r="P48" s="23"/>
      <c r="Q48" s="23"/>
      <c r="R48" s="23"/>
      <c r="S48" s="23"/>
      <c r="T48" s="23"/>
      <c r="U48" s="23"/>
      <c r="V48" s="23"/>
      <c r="W48" s="23"/>
      <c r="X48" s="23"/>
      <c r="Y48" s="23"/>
      <c r="Z48" s="23"/>
      <c r="AA48" s="23"/>
      <c r="AB48" s="23"/>
      <c r="AC48" s="23"/>
      <c r="AD48" s="23"/>
      <c r="AE48" s="23"/>
      <c r="AF48" s="23"/>
      <c r="AG48" s="23"/>
    </row>
    <row r="49" spans="1:33" x14ac:dyDescent="0.25">
      <c r="A49" s="32">
        <v>46</v>
      </c>
      <c r="B49" s="39"/>
      <c r="C49" s="39"/>
      <c r="D49" s="39"/>
      <c r="E49" s="39"/>
      <c r="F49" s="39"/>
      <c r="G49" s="39"/>
      <c r="H49" s="39"/>
      <c r="I49" s="40"/>
      <c r="J49" s="39"/>
      <c r="K49" s="23"/>
      <c r="L49" s="23"/>
      <c r="M49" s="23"/>
      <c r="N49" s="23"/>
      <c r="O49" s="23"/>
      <c r="P49" s="23"/>
      <c r="Q49" s="23"/>
      <c r="R49" s="23"/>
      <c r="S49" s="23"/>
      <c r="T49" s="23"/>
      <c r="U49" s="23"/>
      <c r="V49" s="23"/>
      <c r="W49" s="23"/>
      <c r="X49" s="23"/>
      <c r="Y49" s="23"/>
      <c r="Z49" s="23"/>
      <c r="AA49" s="23"/>
      <c r="AB49" s="23"/>
      <c r="AC49" s="23"/>
      <c r="AD49" s="23"/>
      <c r="AE49" s="23"/>
      <c r="AF49" s="23"/>
      <c r="AG49" s="23"/>
    </row>
    <row r="50" spans="1:33" x14ac:dyDescent="0.25">
      <c r="A50" s="32">
        <v>47</v>
      </c>
      <c r="B50" s="39"/>
      <c r="C50" s="39"/>
      <c r="D50" s="39"/>
      <c r="E50" s="39"/>
      <c r="F50" s="39"/>
      <c r="G50" s="39"/>
      <c r="H50" s="39"/>
      <c r="I50" s="40"/>
      <c r="J50" s="39"/>
      <c r="K50" s="23"/>
      <c r="L50" s="23"/>
      <c r="M50" s="23"/>
      <c r="N50" s="23"/>
      <c r="O50" s="23"/>
      <c r="P50" s="23"/>
      <c r="Q50" s="23"/>
      <c r="R50" s="23"/>
      <c r="S50" s="23"/>
      <c r="T50" s="23"/>
      <c r="U50" s="23"/>
      <c r="V50" s="23"/>
      <c r="W50" s="23"/>
      <c r="X50" s="23"/>
      <c r="Y50" s="23"/>
      <c r="Z50" s="23"/>
      <c r="AA50" s="23"/>
      <c r="AB50" s="23"/>
      <c r="AC50" s="23"/>
      <c r="AD50" s="23"/>
      <c r="AE50" s="23"/>
      <c r="AF50" s="23"/>
      <c r="AG50" s="23"/>
    </row>
    <row r="51" spans="1:33" x14ac:dyDescent="0.25">
      <c r="A51" s="32">
        <v>48</v>
      </c>
      <c r="B51" s="39"/>
      <c r="C51" s="39"/>
      <c r="D51" s="39"/>
      <c r="E51" s="39"/>
      <c r="F51" s="39"/>
      <c r="G51" s="39"/>
      <c r="H51" s="39"/>
      <c r="I51" s="40"/>
      <c r="J51" s="39"/>
      <c r="K51" s="23"/>
      <c r="L51" s="23"/>
      <c r="M51" s="23"/>
      <c r="N51" s="23"/>
      <c r="O51" s="23"/>
      <c r="P51" s="23"/>
      <c r="Q51" s="23"/>
      <c r="R51" s="23"/>
      <c r="S51" s="23"/>
      <c r="T51" s="23"/>
      <c r="U51" s="23"/>
      <c r="V51" s="23"/>
      <c r="W51" s="23"/>
      <c r="X51" s="23"/>
      <c r="Y51" s="23"/>
      <c r="Z51" s="23"/>
      <c r="AA51" s="23"/>
      <c r="AB51" s="23"/>
      <c r="AC51" s="23"/>
      <c r="AD51" s="23"/>
      <c r="AE51" s="23"/>
      <c r="AF51" s="23"/>
      <c r="AG51" s="23"/>
    </row>
    <row r="52" spans="1:33" x14ac:dyDescent="0.25">
      <c r="A52" s="32">
        <v>49</v>
      </c>
      <c r="B52" s="39"/>
      <c r="C52" s="39"/>
      <c r="D52" s="39"/>
      <c r="E52" s="39"/>
      <c r="F52" s="39"/>
      <c r="G52" s="39"/>
      <c r="H52" s="39"/>
      <c r="I52" s="40"/>
      <c r="J52" s="39"/>
      <c r="K52" s="23"/>
      <c r="L52" s="23"/>
      <c r="M52" s="23"/>
      <c r="N52" s="23"/>
      <c r="O52" s="23"/>
      <c r="P52" s="23"/>
      <c r="Q52" s="23"/>
      <c r="R52" s="23"/>
      <c r="S52" s="23"/>
      <c r="T52" s="23"/>
      <c r="U52" s="23"/>
      <c r="V52" s="23"/>
      <c r="W52" s="23"/>
      <c r="X52" s="23"/>
      <c r="Y52" s="23"/>
      <c r="Z52" s="23"/>
      <c r="AA52" s="23"/>
      <c r="AB52" s="23"/>
      <c r="AC52" s="23"/>
      <c r="AD52" s="23"/>
      <c r="AE52" s="23"/>
      <c r="AF52" s="23"/>
      <c r="AG52" s="23"/>
    </row>
    <row r="53" spans="1:33" x14ac:dyDescent="0.25">
      <c r="A53" s="32">
        <v>50</v>
      </c>
      <c r="B53" s="39"/>
      <c r="C53" s="39"/>
      <c r="D53" s="39"/>
      <c r="E53" s="39"/>
      <c r="F53" s="39"/>
      <c r="G53" s="39"/>
      <c r="H53" s="39"/>
      <c r="I53" s="40"/>
      <c r="J53" s="39"/>
      <c r="K53" s="23"/>
      <c r="L53" s="23"/>
      <c r="M53" s="23"/>
      <c r="N53" s="23"/>
      <c r="O53" s="23"/>
      <c r="P53" s="23"/>
      <c r="Q53" s="23"/>
      <c r="R53" s="23"/>
      <c r="S53" s="23"/>
      <c r="T53" s="23"/>
      <c r="U53" s="23"/>
      <c r="V53" s="23"/>
      <c r="W53" s="23"/>
      <c r="X53" s="23"/>
      <c r="Y53" s="23"/>
      <c r="Z53" s="23"/>
      <c r="AA53" s="23"/>
      <c r="AB53" s="23"/>
      <c r="AC53" s="23"/>
      <c r="AD53" s="23"/>
      <c r="AE53" s="23"/>
      <c r="AF53" s="23"/>
      <c r="AG53" s="23"/>
    </row>
    <row r="54" spans="1:33" x14ac:dyDescent="0.25">
      <c r="A54" s="32">
        <v>51</v>
      </c>
      <c r="B54" s="39"/>
      <c r="C54" s="39"/>
      <c r="D54" s="39"/>
      <c r="E54" s="39"/>
      <c r="F54" s="39"/>
      <c r="G54" s="39"/>
      <c r="H54" s="39"/>
      <c r="I54" s="40"/>
      <c r="J54" s="39"/>
      <c r="K54" s="23"/>
      <c r="L54" s="23"/>
      <c r="M54" s="23"/>
      <c r="N54" s="23"/>
      <c r="O54" s="23"/>
      <c r="P54" s="23"/>
      <c r="Q54" s="23"/>
      <c r="R54" s="23"/>
      <c r="S54" s="23"/>
      <c r="T54" s="23"/>
      <c r="U54" s="23"/>
      <c r="V54" s="23"/>
      <c r="W54" s="23"/>
      <c r="X54" s="23"/>
      <c r="Y54" s="23"/>
      <c r="Z54" s="23"/>
      <c r="AA54" s="23"/>
      <c r="AB54" s="23"/>
      <c r="AC54" s="23"/>
      <c r="AD54" s="23"/>
      <c r="AE54" s="23"/>
      <c r="AF54" s="23"/>
      <c r="AG54" s="23"/>
    </row>
    <row r="55" spans="1:33" x14ac:dyDescent="0.25">
      <c r="A55" s="32">
        <v>52</v>
      </c>
      <c r="B55" s="39"/>
      <c r="C55" s="39"/>
      <c r="D55" s="39"/>
      <c r="E55" s="39"/>
      <c r="F55" s="39"/>
      <c r="G55" s="39"/>
      <c r="H55" s="39"/>
      <c r="I55" s="40"/>
      <c r="J55" s="39"/>
      <c r="K55" s="23"/>
      <c r="L55" s="23"/>
      <c r="M55" s="23"/>
      <c r="N55" s="23"/>
      <c r="O55" s="23"/>
      <c r="P55" s="23"/>
      <c r="Q55" s="23"/>
      <c r="R55" s="23"/>
      <c r="S55" s="23"/>
      <c r="T55" s="23"/>
      <c r="U55" s="23"/>
      <c r="V55" s="23"/>
      <c r="W55" s="23"/>
      <c r="X55" s="23"/>
      <c r="Y55" s="23"/>
      <c r="Z55" s="23"/>
      <c r="AA55" s="23"/>
      <c r="AB55" s="23"/>
      <c r="AC55" s="23"/>
      <c r="AD55" s="23"/>
      <c r="AE55" s="23"/>
      <c r="AF55" s="23"/>
      <c r="AG55" s="23"/>
    </row>
    <row r="56" spans="1:33" x14ac:dyDescent="0.25">
      <c r="A56" s="32">
        <v>53</v>
      </c>
      <c r="B56" s="39"/>
      <c r="C56" s="39"/>
      <c r="D56" s="39"/>
      <c r="E56" s="39"/>
      <c r="F56" s="39"/>
      <c r="G56" s="39"/>
      <c r="H56" s="39"/>
      <c r="I56" s="40"/>
      <c r="J56" s="39"/>
      <c r="K56" s="23"/>
      <c r="L56" s="23"/>
      <c r="M56" s="23"/>
      <c r="N56" s="23"/>
      <c r="O56" s="23"/>
      <c r="P56" s="23"/>
      <c r="Q56" s="23"/>
      <c r="R56" s="23"/>
      <c r="S56" s="23"/>
      <c r="T56" s="23"/>
      <c r="U56" s="23"/>
      <c r="V56" s="23"/>
      <c r="W56" s="23"/>
      <c r="X56" s="23"/>
      <c r="Y56" s="23"/>
      <c r="Z56" s="23"/>
      <c r="AA56" s="23"/>
      <c r="AB56" s="23"/>
      <c r="AC56" s="23"/>
      <c r="AD56" s="23"/>
      <c r="AE56" s="23"/>
      <c r="AF56" s="23"/>
      <c r="AG56" s="23"/>
    </row>
    <row r="57" spans="1:33" x14ac:dyDescent="0.25">
      <c r="A57" s="32">
        <v>54</v>
      </c>
      <c r="B57" s="39"/>
      <c r="C57" s="39"/>
      <c r="D57" s="39"/>
      <c r="E57" s="39"/>
      <c r="F57" s="39"/>
      <c r="G57" s="39"/>
      <c r="H57" s="39"/>
      <c r="I57" s="40"/>
      <c r="J57" s="39"/>
      <c r="K57" s="23"/>
      <c r="L57" s="23"/>
      <c r="M57" s="23"/>
      <c r="N57" s="23"/>
      <c r="O57" s="23"/>
      <c r="P57" s="23"/>
      <c r="Q57" s="23"/>
      <c r="R57" s="23"/>
      <c r="S57" s="23"/>
      <c r="T57" s="23"/>
      <c r="U57" s="23"/>
      <c r="V57" s="23"/>
      <c r="W57" s="23"/>
      <c r="X57" s="23"/>
      <c r="Y57" s="23"/>
      <c r="Z57" s="23"/>
      <c r="AA57" s="23"/>
      <c r="AB57" s="23"/>
      <c r="AC57" s="23"/>
      <c r="AD57" s="23"/>
      <c r="AE57" s="23"/>
      <c r="AF57" s="23"/>
      <c r="AG57" s="23"/>
    </row>
    <row r="58" spans="1:33" x14ac:dyDescent="0.25">
      <c r="A58" s="32">
        <v>55</v>
      </c>
      <c r="B58" s="39"/>
      <c r="C58" s="39"/>
      <c r="D58" s="39"/>
      <c r="E58" s="39"/>
      <c r="F58" s="39"/>
      <c r="G58" s="39"/>
      <c r="H58" s="39"/>
      <c r="I58" s="40"/>
      <c r="J58" s="39"/>
      <c r="K58" s="23"/>
      <c r="L58" s="23"/>
      <c r="M58" s="23"/>
      <c r="N58" s="23"/>
      <c r="O58" s="23"/>
      <c r="P58" s="23"/>
      <c r="Q58" s="23"/>
      <c r="R58" s="23"/>
      <c r="S58" s="23"/>
      <c r="T58" s="23"/>
      <c r="U58" s="23"/>
      <c r="V58" s="23"/>
      <c r="W58" s="23"/>
      <c r="X58" s="23"/>
      <c r="Y58" s="23"/>
      <c r="Z58" s="23"/>
      <c r="AA58" s="23"/>
      <c r="AB58" s="23"/>
      <c r="AC58" s="23"/>
      <c r="AD58" s="23"/>
      <c r="AE58" s="23"/>
      <c r="AF58" s="23"/>
      <c r="AG58" s="23"/>
    </row>
    <row r="59" spans="1:33" x14ac:dyDescent="0.25">
      <c r="A59" s="32">
        <v>56</v>
      </c>
      <c r="B59" s="39"/>
      <c r="C59" s="39"/>
      <c r="D59" s="39"/>
      <c r="E59" s="39"/>
      <c r="F59" s="39"/>
      <c r="G59" s="39"/>
      <c r="H59" s="39"/>
      <c r="I59" s="40"/>
      <c r="J59" s="39"/>
      <c r="K59" s="23"/>
      <c r="L59" s="23"/>
      <c r="M59" s="23"/>
      <c r="N59" s="23"/>
      <c r="O59" s="23"/>
      <c r="P59" s="23"/>
      <c r="Q59" s="23"/>
      <c r="R59" s="23"/>
      <c r="S59" s="23"/>
      <c r="T59" s="23"/>
      <c r="U59" s="23"/>
      <c r="V59" s="23"/>
      <c r="W59" s="23"/>
      <c r="X59" s="23"/>
      <c r="Y59" s="23"/>
      <c r="Z59" s="23"/>
      <c r="AA59" s="23"/>
      <c r="AB59" s="23"/>
      <c r="AC59" s="23"/>
      <c r="AD59" s="23"/>
      <c r="AE59" s="23"/>
      <c r="AF59" s="23"/>
      <c r="AG59" s="23"/>
    </row>
    <row r="60" spans="1:33" x14ac:dyDescent="0.25">
      <c r="A60" s="32">
        <v>57</v>
      </c>
      <c r="B60" s="39"/>
      <c r="C60" s="39"/>
      <c r="D60" s="39"/>
      <c r="E60" s="39"/>
      <c r="F60" s="39"/>
      <c r="G60" s="39"/>
      <c r="H60" s="39"/>
      <c r="I60" s="40"/>
      <c r="J60" s="39"/>
      <c r="K60" s="23"/>
      <c r="L60" s="23"/>
      <c r="M60" s="23"/>
      <c r="N60" s="23"/>
      <c r="O60" s="23"/>
      <c r="P60" s="23"/>
      <c r="Q60" s="23"/>
      <c r="R60" s="23"/>
      <c r="S60" s="23"/>
      <c r="T60" s="23"/>
      <c r="U60" s="23"/>
      <c r="V60" s="23"/>
      <c r="W60" s="23"/>
      <c r="X60" s="23"/>
      <c r="Y60" s="23"/>
      <c r="Z60" s="23"/>
      <c r="AA60" s="23"/>
      <c r="AB60" s="23"/>
      <c r="AC60" s="23"/>
      <c r="AD60" s="23"/>
      <c r="AE60" s="23"/>
      <c r="AF60" s="23"/>
      <c r="AG60" s="23"/>
    </row>
    <row r="61" spans="1:33" x14ac:dyDescent="0.25">
      <c r="A61" s="32">
        <v>58</v>
      </c>
      <c r="B61" s="39"/>
      <c r="C61" s="39"/>
      <c r="D61" s="39"/>
      <c r="E61" s="39"/>
      <c r="F61" s="39"/>
      <c r="G61" s="39"/>
      <c r="H61" s="39"/>
      <c r="I61" s="40"/>
      <c r="J61" s="39"/>
      <c r="K61" s="23"/>
      <c r="L61" s="23"/>
      <c r="M61" s="23"/>
      <c r="N61" s="23"/>
      <c r="O61" s="23"/>
      <c r="P61" s="23"/>
      <c r="Q61" s="23"/>
      <c r="R61" s="23"/>
      <c r="S61" s="23"/>
      <c r="T61" s="23"/>
      <c r="U61" s="23"/>
      <c r="V61" s="23"/>
      <c r="W61" s="23"/>
      <c r="X61" s="23"/>
      <c r="Y61" s="23"/>
      <c r="Z61" s="23"/>
      <c r="AA61" s="23"/>
      <c r="AB61" s="23"/>
      <c r="AC61" s="23"/>
      <c r="AD61" s="23"/>
      <c r="AE61" s="23"/>
      <c r="AF61" s="23"/>
      <c r="AG61" s="23"/>
    </row>
    <row r="62" spans="1:33" x14ac:dyDescent="0.25">
      <c r="A62" s="32">
        <v>59</v>
      </c>
      <c r="B62" s="39"/>
      <c r="C62" s="39"/>
      <c r="D62" s="39"/>
      <c r="E62" s="39"/>
      <c r="F62" s="39"/>
      <c r="G62" s="39"/>
      <c r="H62" s="39"/>
      <c r="I62" s="40"/>
      <c r="J62" s="39"/>
      <c r="K62" s="23"/>
      <c r="L62" s="23"/>
      <c r="M62" s="23"/>
      <c r="N62" s="23"/>
      <c r="O62" s="23"/>
      <c r="P62" s="23"/>
      <c r="Q62" s="23"/>
      <c r="R62" s="23"/>
      <c r="S62" s="23"/>
      <c r="T62" s="23"/>
      <c r="U62" s="23"/>
      <c r="V62" s="23"/>
      <c r="W62" s="23"/>
      <c r="X62" s="23"/>
      <c r="Y62" s="23"/>
      <c r="Z62" s="23"/>
      <c r="AA62" s="23"/>
      <c r="AB62" s="23"/>
      <c r="AC62" s="23"/>
      <c r="AD62" s="23"/>
      <c r="AE62" s="23"/>
      <c r="AF62" s="23"/>
      <c r="AG62" s="23"/>
    </row>
    <row r="63" spans="1:33" x14ac:dyDescent="0.25">
      <c r="A63" s="32">
        <v>60</v>
      </c>
      <c r="B63" s="39"/>
      <c r="C63" s="39"/>
      <c r="D63" s="39"/>
      <c r="E63" s="39"/>
      <c r="F63" s="39"/>
      <c r="G63" s="39"/>
      <c r="H63" s="39"/>
      <c r="I63" s="40"/>
      <c r="J63" s="39"/>
      <c r="K63" s="23"/>
      <c r="L63" s="23"/>
      <c r="M63" s="23"/>
      <c r="N63" s="23"/>
      <c r="O63" s="23"/>
      <c r="P63" s="23"/>
      <c r="Q63" s="23"/>
      <c r="R63" s="23"/>
      <c r="S63" s="23"/>
      <c r="T63" s="23"/>
      <c r="U63" s="23"/>
      <c r="V63" s="23"/>
      <c r="W63" s="23"/>
      <c r="X63" s="23"/>
      <c r="Y63" s="23"/>
      <c r="Z63" s="23"/>
      <c r="AA63" s="23"/>
      <c r="AB63" s="23"/>
      <c r="AC63" s="23"/>
      <c r="AD63" s="23"/>
      <c r="AE63" s="23"/>
      <c r="AF63" s="23"/>
      <c r="AG63" s="23"/>
    </row>
    <row r="64" spans="1:33" x14ac:dyDescent="0.25">
      <c r="A64" s="32">
        <v>61</v>
      </c>
      <c r="B64" s="39"/>
      <c r="C64" s="39"/>
      <c r="D64" s="39"/>
      <c r="E64" s="39"/>
      <c r="F64" s="39"/>
      <c r="G64" s="39"/>
      <c r="H64" s="39"/>
      <c r="I64" s="40"/>
      <c r="J64" s="39"/>
      <c r="K64" s="23"/>
      <c r="L64" s="23"/>
      <c r="M64" s="23"/>
      <c r="N64" s="23"/>
      <c r="O64" s="23"/>
      <c r="P64" s="23"/>
      <c r="Q64" s="23"/>
      <c r="R64" s="23"/>
      <c r="S64" s="23"/>
      <c r="T64" s="23"/>
      <c r="U64" s="23"/>
      <c r="V64" s="23"/>
      <c r="W64" s="23"/>
      <c r="X64" s="23"/>
      <c r="Y64" s="23"/>
      <c r="Z64" s="23"/>
      <c r="AA64" s="23"/>
      <c r="AB64" s="23"/>
      <c r="AC64" s="23"/>
      <c r="AD64" s="23"/>
      <c r="AE64" s="23"/>
      <c r="AF64" s="23"/>
      <c r="AG64" s="23"/>
    </row>
    <row r="65" spans="1:33" x14ac:dyDescent="0.25">
      <c r="A65" s="32">
        <v>62</v>
      </c>
      <c r="B65" s="39"/>
      <c r="C65" s="39"/>
      <c r="D65" s="39"/>
      <c r="E65" s="39"/>
      <c r="F65" s="39"/>
      <c r="G65" s="39"/>
      <c r="H65" s="39"/>
      <c r="I65" s="40"/>
      <c r="J65" s="39"/>
      <c r="K65" s="23"/>
      <c r="L65" s="23"/>
      <c r="M65" s="23"/>
      <c r="N65" s="23"/>
      <c r="O65" s="23"/>
      <c r="P65" s="23"/>
      <c r="Q65" s="23"/>
      <c r="R65" s="23"/>
      <c r="S65" s="23"/>
      <c r="T65" s="23"/>
      <c r="U65" s="23"/>
      <c r="V65" s="23"/>
      <c r="W65" s="23"/>
      <c r="X65" s="23"/>
      <c r="Y65" s="23"/>
      <c r="Z65" s="23"/>
      <c r="AA65" s="23"/>
      <c r="AB65" s="23"/>
      <c r="AC65" s="23"/>
      <c r="AD65" s="23"/>
      <c r="AE65" s="23"/>
      <c r="AF65" s="23"/>
      <c r="AG65" s="23"/>
    </row>
    <row r="66" spans="1:33" x14ac:dyDescent="0.25">
      <c r="A66" s="32">
        <v>63</v>
      </c>
      <c r="B66" s="39"/>
      <c r="C66" s="39"/>
      <c r="D66" s="39"/>
      <c r="E66" s="39"/>
      <c r="F66" s="39"/>
      <c r="G66" s="39"/>
      <c r="H66" s="39"/>
      <c r="I66" s="40"/>
      <c r="J66" s="39"/>
      <c r="K66" s="23"/>
      <c r="L66" s="23"/>
      <c r="M66" s="23"/>
      <c r="N66" s="23"/>
      <c r="O66" s="23"/>
      <c r="P66" s="23"/>
      <c r="Q66" s="23"/>
      <c r="R66" s="23"/>
      <c r="S66" s="23"/>
      <c r="T66" s="23"/>
      <c r="U66" s="23"/>
      <c r="V66" s="23"/>
      <c r="W66" s="23"/>
      <c r="X66" s="23"/>
      <c r="Y66" s="23"/>
      <c r="Z66" s="23"/>
      <c r="AA66" s="23"/>
      <c r="AB66" s="23"/>
      <c r="AC66" s="23"/>
      <c r="AD66" s="23"/>
      <c r="AE66" s="23"/>
      <c r="AF66" s="23"/>
      <c r="AG66" s="23"/>
    </row>
    <row r="67" spans="1:33" x14ac:dyDescent="0.25">
      <c r="A67" s="32">
        <v>64</v>
      </c>
      <c r="B67" s="39"/>
      <c r="C67" s="39"/>
      <c r="D67" s="39"/>
      <c r="E67" s="39"/>
      <c r="F67" s="39"/>
      <c r="G67" s="39"/>
      <c r="H67" s="39"/>
      <c r="I67" s="40"/>
      <c r="J67" s="39"/>
      <c r="K67" s="23"/>
      <c r="L67" s="23"/>
      <c r="M67" s="23"/>
      <c r="N67" s="23"/>
      <c r="O67" s="23"/>
      <c r="P67" s="23"/>
      <c r="Q67" s="23"/>
      <c r="R67" s="23"/>
      <c r="S67" s="23"/>
      <c r="T67" s="23"/>
      <c r="U67" s="23"/>
      <c r="V67" s="23"/>
      <c r="W67" s="23"/>
      <c r="X67" s="23"/>
      <c r="Y67" s="23"/>
      <c r="Z67" s="23"/>
      <c r="AA67" s="23"/>
      <c r="AB67" s="23"/>
      <c r="AC67" s="23"/>
      <c r="AD67" s="23"/>
      <c r="AE67" s="23"/>
      <c r="AF67" s="23"/>
      <c r="AG67" s="23"/>
    </row>
    <row r="68" spans="1:33" x14ac:dyDescent="0.25">
      <c r="A68" s="32">
        <v>65</v>
      </c>
      <c r="B68" s="39"/>
      <c r="C68" s="39"/>
      <c r="D68" s="39"/>
      <c r="E68" s="39"/>
      <c r="F68" s="39"/>
      <c r="G68" s="39"/>
      <c r="H68" s="39"/>
      <c r="I68" s="40"/>
      <c r="J68" s="39"/>
      <c r="K68" s="23"/>
      <c r="L68" s="23"/>
      <c r="M68" s="23"/>
      <c r="N68" s="23"/>
      <c r="O68" s="23"/>
      <c r="P68" s="23"/>
      <c r="Q68" s="23"/>
      <c r="R68" s="23"/>
      <c r="S68" s="23"/>
      <c r="T68" s="23"/>
      <c r="U68" s="23"/>
      <c r="V68" s="23"/>
      <c r="W68" s="23"/>
      <c r="X68" s="23"/>
      <c r="Y68" s="23"/>
      <c r="Z68" s="23"/>
      <c r="AA68" s="23"/>
      <c r="AB68" s="23"/>
      <c r="AC68" s="23"/>
      <c r="AD68" s="23"/>
      <c r="AE68" s="23"/>
      <c r="AF68" s="23"/>
      <c r="AG68" s="23"/>
    </row>
    <row r="69" spans="1:33" x14ac:dyDescent="0.25">
      <c r="A69" s="32">
        <v>66</v>
      </c>
      <c r="B69" s="39"/>
      <c r="C69" s="39"/>
      <c r="D69" s="39"/>
      <c r="E69" s="39"/>
      <c r="F69" s="39"/>
      <c r="G69" s="39"/>
      <c r="H69" s="39"/>
      <c r="I69" s="40"/>
      <c r="J69" s="39"/>
      <c r="K69" s="23"/>
      <c r="L69" s="23"/>
      <c r="M69" s="23"/>
      <c r="N69" s="23"/>
      <c r="O69" s="23"/>
      <c r="P69" s="23"/>
      <c r="Q69" s="23"/>
      <c r="R69" s="23"/>
      <c r="S69" s="23"/>
      <c r="T69" s="23"/>
      <c r="U69" s="23"/>
      <c r="V69" s="23"/>
      <c r="W69" s="23"/>
      <c r="X69" s="23"/>
      <c r="Y69" s="23"/>
      <c r="Z69" s="23"/>
      <c r="AA69" s="23"/>
      <c r="AB69" s="23"/>
      <c r="AC69" s="23"/>
      <c r="AD69" s="23"/>
      <c r="AE69" s="23"/>
      <c r="AF69" s="23"/>
      <c r="AG69" s="23"/>
    </row>
    <row r="70" spans="1:33" x14ac:dyDescent="0.25">
      <c r="A70" s="32">
        <v>67</v>
      </c>
      <c r="B70" s="39"/>
      <c r="C70" s="39"/>
      <c r="D70" s="39"/>
      <c r="E70" s="39"/>
      <c r="F70" s="39"/>
      <c r="G70" s="39"/>
      <c r="H70" s="39"/>
      <c r="I70" s="40"/>
      <c r="J70" s="39"/>
      <c r="K70" s="23"/>
      <c r="L70" s="23"/>
      <c r="M70" s="23"/>
      <c r="N70" s="23"/>
      <c r="O70" s="23"/>
      <c r="P70" s="23"/>
      <c r="Q70" s="23"/>
      <c r="R70" s="23"/>
      <c r="S70" s="23"/>
      <c r="T70" s="23"/>
      <c r="U70" s="23"/>
      <c r="V70" s="23"/>
      <c r="W70" s="23"/>
      <c r="X70" s="23"/>
      <c r="Y70" s="23"/>
      <c r="Z70" s="23"/>
      <c r="AA70" s="23"/>
      <c r="AB70" s="23"/>
      <c r="AC70" s="23"/>
      <c r="AD70" s="23"/>
      <c r="AE70" s="23"/>
      <c r="AF70" s="23"/>
      <c r="AG70" s="23"/>
    </row>
    <row r="71" spans="1:33" x14ac:dyDescent="0.25">
      <c r="A71" s="32">
        <v>68</v>
      </c>
      <c r="B71" s="39"/>
      <c r="C71" s="39"/>
      <c r="D71" s="39"/>
      <c r="E71" s="39"/>
      <c r="F71" s="39"/>
      <c r="G71" s="39"/>
      <c r="H71" s="39"/>
      <c r="I71" s="40"/>
      <c r="J71" s="39"/>
      <c r="K71" s="23"/>
      <c r="L71" s="23"/>
      <c r="M71" s="23"/>
      <c r="N71" s="23"/>
      <c r="O71" s="23"/>
      <c r="P71" s="23"/>
      <c r="Q71" s="23"/>
      <c r="R71" s="23"/>
      <c r="S71" s="23"/>
      <c r="T71" s="23"/>
      <c r="U71" s="23"/>
      <c r="V71" s="23"/>
      <c r="W71" s="23"/>
      <c r="X71" s="23"/>
      <c r="Y71" s="23"/>
      <c r="Z71" s="23"/>
      <c r="AA71" s="23"/>
      <c r="AB71" s="23"/>
      <c r="AC71" s="23"/>
      <c r="AD71" s="23"/>
      <c r="AE71" s="23"/>
      <c r="AF71" s="23"/>
      <c r="AG71" s="23"/>
    </row>
    <row r="72" spans="1:33" x14ac:dyDescent="0.25">
      <c r="A72" s="32">
        <v>69</v>
      </c>
      <c r="B72" s="39"/>
      <c r="C72" s="39"/>
      <c r="D72" s="39"/>
      <c r="E72" s="39"/>
      <c r="F72" s="39"/>
      <c r="G72" s="39"/>
      <c r="H72" s="39"/>
      <c r="I72" s="40"/>
      <c r="J72" s="39"/>
      <c r="K72" s="23"/>
      <c r="L72" s="23"/>
      <c r="M72" s="23"/>
      <c r="N72" s="23"/>
      <c r="O72" s="23"/>
      <c r="P72" s="23"/>
      <c r="Q72" s="23"/>
      <c r="R72" s="23"/>
      <c r="S72" s="23"/>
      <c r="T72" s="23"/>
      <c r="U72" s="23"/>
      <c r="V72" s="23"/>
      <c r="W72" s="23"/>
      <c r="X72" s="23"/>
      <c r="Y72" s="23"/>
      <c r="Z72" s="23"/>
      <c r="AA72" s="23"/>
      <c r="AB72" s="23"/>
      <c r="AC72" s="23"/>
      <c r="AD72" s="23"/>
      <c r="AE72" s="23"/>
      <c r="AF72" s="23"/>
      <c r="AG72" s="23"/>
    </row>
    <row r="73" spans="1:33" x14ac:dyDescent="0.25">
      <c r="A73" s="32">
        <v>70</v>
      </c>
      <c r="B73" s="39"/>
      <c r="C73" s="39"/>
      <c r="D73" s="39"/>
      <c r="E73" s="39"/>
      <c r="F73" s="39"/>
      <c r="G73" s="39"/>
      <c r="H73" s="39"/>
      <c r="I73" s="40"/>
      <c r="J73" s="39"/>
      <c r="K73" s="23"/>
      <c r="L73" s="23"/>
      <c r="M73" s="23"/>
      <c r="N73" s="23"/>
      <c r="O73" s="23"/>
      <c r="P73" s="23"/>
      <c r="Q73" s="23"/>
      <c r="R73" s="23"/>
      <c r="S73" s="23"/>
      <c r="T73" s="23"/>
      <c r="U73" s="23"/>
      <c r="V73" s="23"/>
      <c r="W73" s="23"/>
      <c r="X73" s="23"/>
      <c r="Y73" s="23"/>
      <c r="Z73" s="23"/>
      <c r="AA73" s="23"/>
      <c r="AB73" s="23"/>
      <c r="AC73" s="23"/>
      <c r="AD73" s="23"/>
      <c r="AE73" s="23"/>
      <c r="AF73" s="23"/>
      <c r="AG73" s="23"/>
    </row>
    <row r="74" spans="1:33" x14ac:dyDescent="0.25">
      <c r="A74" s="32">
        <v>71</v>
      </c>
      <c r="B74" s="39"/>
      <c r="C74" s="39"/>
      <c r="D74" s="39"/>
      <c r="E74" s="39"/>
      <c r="F74" s="39"/>
      <c r="G74" s="39"/>
      <c r="H74" s="39"/>
      <c r="I74" s="40"/>
      <c r="J74" s="39"/>
      <c r="K74" s="23"/>
      <c r="L74" s="23"/>
      <c r="M74" s="23"/>
      <c r="N74" s="23"/>
      <c r="O74" s="23"/>
      <c r="P74" s="23"/>
      <c r="Q74" s="23"/>
      <c r="R74" s="23"/>
      <c r="S74" s="23"/>
      <c r="T74" s="23"/>
      <c r="U74" s="23"/>
      <c r="V74" s="23"/>
      <c r="W74" s="23"/>
      <c r="X74" s="23"/>
      <c r="Y74" s="23"/>
      <c r="Z74" s="23"/>
      <c r="AA74" s="23"/>
      <c r="AB74" s="23"/>
      <c r="AC74" s="23"/>
      <c r="AD74" s="23"/>
      <c r="AE74" s="23"/>
      <c r="AF74" s="23"/>
      <c r="AG74" s="23"/>
    </row>
    <row r="75" spans="1:33" x14ac:dyDescent="0.25">
      <c r="A75" s="32">
        <v>72</v>
      </c>
      <c r="B75" s="39"/>
      <c r="C75" s="39"/>
      <c r="D75" s="39"/>
      <c r="E75" s="39"/>
      <c r="F75" s="39"/>
      <c r="G75" s="39"/>
      <c r="H75" s="39"/>
      <c r="I75" s="40"/>
      <c r="J75" s="39"/>
      <c r="K75" s="23"/>
      <c r="L75" s="23"/>
      <c r="M75" s="23"/>
      <c r="N75" s="23"/>
      <c r="O75" s="23"/>
      <c r="P75" s="23"/>
      <c r="Q75" s="23"/>
      <c r="R75" s="23"/>
      <c r="S75" s="23"/>
      <c r="T75" s="23"/>
      <c r="U75" s="23"/>
      <c r="V75" s="23"/>
      <c r="W75" s="23"/>
      <c r="X75" s="23"/>
      <c r="Y75" s="23"/>
      <c r="Z75" s="23"/>
      <c r="AA75" s="23"/>
      <c r="AB75" s="23"/>
      <c r="AC75" s="23"/>
      <c r="AD75" s="23"/>
      <c r="AE75" s="23"/>
      <c r="AF75" s="23"/>
      <c r="AG75" s="23"/>
    </row>
    <row r="76" spans="1:33" x14ac:dyDescent="0.25">
      <c r="A76" s="32">
        <v>73</v>
      </c>
      <c r="B76" s="39"/>
      <c r="C76" s="39"/>
      <c r="D76" s="39"/>
      <c r="E76" s="39"/>
      <c r="F76" s="39"/>
      <c r="G76" s="39"/>
      <c r="H76" s="39"/>
      <c r="I76" s="40"/>
      <c r="J76" s="39"/>
      <c r="K76" s="23"/>
      <c r="L76" s="23"/>
      <c r="M76" s="23"/>
      <c r="N76" s="23"/>
      <c r="O76" s="23"/>
      <c r="P76" s="23"/>
      <c r="Q76" s="23"/>
      <c r="R76" s="23"/>
      <c r="S76" s="23"/>
      <c r="T76" s="23"/>
      <c r="U76" s="23"/>
      <c r="V76" s="23"/>
      <c r="W76" s="23"/>
      <c r="X76" s="23"/>
      <c r="Y76" s="23"/>
      <c r="Z76" s="23"/>
      <c r="AA76" s="23"/>
      <c r="AB76" s="23"/>
      <c r="AC76" s="23"/>
      <c r="AD76" s="23"/>
      <c r="AE76" s="23"/>
      <c r="AF76" s="23"/>
      <c r="AG76" s="23"/>
    </row>
    <row r="77" spans="1:33" x14ac:dyDescent="0.25">
      <c r="A77" s="32">
        <v>74</v>
      </c>
      <c r="B77" s="39"/>
      <c r="C77" s="39"/>
      <c r="D77" s="39"/>
      <c r="E77" s="39"/>
      <c r="F77" s="39"/>
      <c r="G77" s="39"/>
      <c r="H77" s="39"/>
      <c r="I77" s="40"/>
      <c r="J77" s="39"/>
      <c r="K77" s="23"/>
      <c r="L77" s="23"/>
      <c r="M77" s="23"/>
      <c r="N77" s="23"/>
      <c r="O77" s="23"/>
      <c r="P77" s="23"/>
      <c r="Q77" s="23"/>
      <c r="R77" s="23"/>
      <c r="S77" s="23"/>
      <c r="T77" s="23"/>
      <c r="U77" s="23"/>
      <c r="V77" s="23"/>
      <c r="W77" s="23"/>
      <c r="X77" s="23"/>
      <c r="Y77" s="23"/>
      <c r="Z77" s="23"/>
      <c r="AA77" s="23"/>
      <c r="AB77" s="23"/>
      <c r="AC77" s="23"/>
      <c r="AD77" s="23"/>
      <c r="AE77" s="23"/>
      <c r="AF77" s="23"/>
      <c r="AG77" s="23"/>
    </row>
    <row r="78" spans="1:33" x14ac:dyDescent="0.25">
      <c r="A78" s="32">
        <v>75</v>
      </c>
      <c r="B78" s="39"/>
      <c r="C78" s="39"/>
      <c r="D78" s="39"/>
      <c r="E78" s="39"/>
      <c r="F78" s="39"/>
      <c r="G78" s="39"/>
      <c r="H78" s="39"/>
      <c r="I78" s="40"/>
      <c r="J78" s="39"/>
      <c r="K78" s="23"/>
      <c r="L78" s="23"/>
      <c r="M78" s="23"/>
      <c r="N78" s="23"/>
      <c r="O78" s="23"/>
      <c r="P78" s="23"/>
      <c r="Q78" s="23"/>
      <c r="R78" s="23"/>
      <c r="S78" s="23"/>
      <c r="T78" s="23"/>
      <c r="U78" s="23"/>
      <c r="V78" s="23"/>
      <c r="W78" s="23"/>
      <c r="X78" s="23"/>
      <c r="Y78" s="23"/>
      <c r="Z78" s="23"/>
      <c r="AA78" s="23"/>
      <c r="AB78" s="23"/>
      <c r="AC78" s="23"/>
      <c r="AD78" s="23"/>
      <c r="AE78" s="23"/>
      <c r="AF78" s="23"/>
      <c r="AG78" s="23"/>
    </row>
    <row r="79" spans="1:33" x14ac:dyDescent="0.25">
      <c r="A79" s="32">
        <v>76</v>
      </c>
      <c r="B79" s="39"/>
      <c r="C79" s="39"/>
      <c r="D79" s="39"/>
      <c r="E79" s="39"/>
      <c r="F79" s="39"/>
      <c r="G79" s="39"/>
      <c r="H79" s="39"/>
      <c r="I79" s="40"/>
      <c r="J79" s="39"/>
      <c r="K79" s="23"/>
      <c r="L79" s="23"/>
      <c r="M79" s="23"/>
      <c r="N79" s="23"/>
      <c r="O79" s="23"/>
      <c r="P79" s="23"/>
      <c r="Q79" s="23"/>
      <c r="R79" s="23"/>
      <c r="S79" s="23"/>
      <c r="T79" s="23"/>
      <c r="U79" s="23"/>
      <c r="V79" s="23"/>
      <c r="W79" s="23"/>
      <c r="X79" s="23"/>
      <c r="Y79" s="23"/>
      <c r="Z79" s="23"/>
      <c r="AA79" s="23"/>
      <c r="AB79" s="23"/>
      <c r="AC79" s="23"/>
      <c r="AD79" s="23"/>
      <c r="AE79" s="23"/>
      <c r="AF79" s="23"/>
      <c r="AG79" s="23"/>
    </row>
    <row r="80" spans="1:33" x14ac:dyDescent="0.25">
      <c r="A80" s="32">
        <v>77</v>
      </c>
      <c r="B80" s="39"/>
      <c r="C80" s="39"/>
      <c r="D80" s="39"/>
      <c r="E80" s="39"/>
      <c r="F80" s="39"/>
      <c r="G80" s="39"/>
      <c r="H80" s="39"/>
      <c r="I80" s="40"/>
      <c r="J80" s="39"/>
      <c r="K80" s="23"/>
      <c r="L80" s="23"/>
      <c r="M80" s="23"/>
      <c r="N80" s="23"/>
      <c r="O80" s="23"/>
      <c r="P80" s="23"/>
      <c r="Q80" s="23"/>
      <c r="R80" s="23"/>
      <c r="S80" s="23"/>
      <c r="T80" s="23"/>
      <c r="U80" s="23"/>
      <c r="V80" s="23"/>
      <c r="W80" s="23"/>
      <c r="X80" s="23"/>
      <c r="Y80" s="23"/>
      <c r="Z80" s="23"/>
      <c r="AA80" s="23"/>
      <c r="AB80" s="23"/>
      <c r="AC80" s="23"/>
      <c r="AD80" s="23"/>
      <c r="AE80" s="23"/>
      <c r="AF80" s="23"/>
      <c r="AG80" s="23"/>
    </row>
    <row r="81" spans="1:33" x14ac:dyDescent="0.25">
      <c r="A81" s="32">
        <v>78</v>
      </c>
      <c r="B81" s="39"/>
      <c r="C81" s="39"/>
      <c r="D81" s="39"/>
      <c r="E81" s="39"/>
      <c r="F81" s="39"/>
      <c r="G81" s="39"/>
      <c r="H81" s="39"/>
      <c r="I81" s="40"/>
      <c r="J81" s="39"/>
      <c r="K81" s="23"/>
      <c r="L81" s="23"/>
      <c r="M81" s="23"/>
      <c r="N81" s="23"/>
      <c r="O81" s="23"/>
      <c r="P81" s="23"/>
      <c r="Q81" s="23"/>
      <c r="R81" s="23"/>
      <c r="S81" s="23"/>
      <c r="T81" s="23"/>
      <c r="U81" s="23"/>
      <c r="V81" s="23"/>
      <c r="W81" s="23"/>
      <c r="X81" s="23"/>
      <c r="Y81" s="23"/>
      <c r="Z81" s="23"/>
      <c r="AA81" s="23"/>
      <c r="AB81" s="23"/>
      <c r="AC81" s="23"/>
      <c r="AD81" s="23"/>
      <c r="AE81" s="23"/>
      <c r="AF81" s="23"/>
      <c r="AG81" s="23"/>
    </row>
    <row r="82" spans="1:33" x14ac:dyDescent="0.25">
      <c r="A82" s="32">
        <v>79</v>
      </c>
      <c r="B82" s="39"/>
      <c r="C82" s="39"/>
      <c r="D82" s="39"/>
      <c r="E82" s="39"/>
      <c r="F82" s="39"/>
      <c r="G82" s="39"/>
      <c r="H82" s="39"/>
      <c r="I82" s="40"/>
      <c r="J82" s="39"/>
      <c r="K82" s="23"/>
      <c r="L82" s="23"/>
      <c r="M82" s="23"/>
      <c r="N82" s="23"/>
      <c r="O82" s="23"/>
      <c r="P82" s="23"/>
      <c r="Q82" s="23"/>
      <c r="R82" s="23"/>
      <c r="S82" s="23"/>
      <c r="T82" s="23"/>
      <c r="U82" s="23"/>
      <c r="V82" s="23"/>
      <c r="W82" s="23"/>
      <c r="X82" s="23"/>
      <c r="Y82" s="23"/>
      <c r="Z82" s="23"/>
      <c r="AA82" s="23"/>
      <c r="AB82" s="23"/>
      <c r="AC82" s="23"/>
      <c r="AD82" s="23"/>
      <c r="AE82" s="23"/>
      <c r="AF82" s="23"/>
      <c r="AG82" s="23"/>
    </row>
    <row r="83" spans="1:33" x14ac:dyDescent="0.25">
      <c r="A83" s="32">
        <v>80</v>
      </c>
      <c r="B83" s="39"/>
      <c r="C83" s="39"/>
      <c r="D83" s="39"/>
      <c r="E83" s="39"/>
      <c r="F83" s="39"/>
      <c r="G83" s="39"/>
      <c r="H83" s="39"/>
      <c r="I83" s="40"/>
      <c r="J83" s="39"/>
      <c r="K83" s="23"/>
      <c r="L83" s="23"/>
      <c r="M83" s="23"/>
      <c r="N83" s="23"/>
      <c r="O83" s="23"/>
      <c r="P83" s="23"/>
      <c r="Q83" s="23"/>
      <c r="R83" s="23"/>
      <c r="S83" s="23"/>
      <c r="T83" s="23"/>
      <c r="U83" s="23"/>
      <c r="V83" s="23"/>
      <c r="W83" s="23"/>
      <c r="X83" s="23"/>
      <c r="Y83" s="23"/>
      <c r="Z83" s="23"/>
      <c r="AA83" s="23"/>
      <c r="AB83" s="23"/>
      <c r="AC83" s="23"/>
      <c r="AD83" s="23"/>
      <c r="AE83" s="23"/>
      <c r="AF83" s="23"/>
      <c r="AG83" s="23"/>
    </row>
    <row r="84" spans="1:33" x14ac:dyDescent="0.25">
      <c r="A84" s="32">
        <v>81</v>
      </c>
      <c r="B84" s="39"/>
      <c r="C84" s="39"/>
      <c r="D84" s="39"/>
      <c r="E84" s="39"/>
      <c r="F84" s="39"/>
      <c r="G84" s="39"/>
      <c r="H84" s="39"/>
      <c r="I84" s="40"/>
      <c r="J84" s="39"/>
      <c r="K84" s="23"/>
      <c r="L84" s="23"/>
      <c r="M84" s="23"/>
      <c r="N84" s="23"/>
      <c r="O84" s="23"/>
      <c r="P84" s="23"/>
      <c r="Q84" s="23"/>
      <c r="R84" s="23"/>
      <c r="S84" s="23"/>
      <c r="T84" s="23"/>
      <c r="U84" s="23"/>
      <c r="V84" s="23"/>
      <c r="W84" s="23"/>
      <c r="X84" s="23"/>
      <c r="Y84" s="23"/>
      <c r="Z84" s="23"/>
      <c r="AA84" s="23"/>
      <c r="AB84" s="23"/>
      <c r="AC84" s="23"/>
      <c r="AD84" s="23"/>
      <c r="AE84" s="23"/>
      <c r="AF84" s="23"/>
      <c r="AG84" s="23"/>
    </row>
    <row r="85" spans="1:33" x14ac:dyDescent="0.25">
      <c r="A85" s="32">
        <v>82</v>
      </c>
      <c r="B85" s="39"/>
      <c r="C85" s="39"/>
      <c r="D85" s="39"/>
      <c r="E85" s="39"/>
      <c r="F85" s="39"/>
      <c r="G85" s="39"/>
      <c r="H85" s="39"/>
      <c r="I85" s="40"/>
      <c r="J85" s="39"/>
      <c r="K85" s="23"/>
      <c r="L85" s="23"/>
      <c r="M85" s="23"/>
      <c r="N85" s="23"/>
      <c r="O85" s="23"/>
      <c r="P85" s="23"/>
      <c r="Q85" s="23"/>
      <c r="R85" s="23"/>
      <c r="S85" s="23"/>
      <c r="T85" s="23"/>
      <c r="U85" s="23"/>
      <c r="V85" s="23"/>
      <c r="W85" s="23"/>
      <c r="X85" s="23"/>
      <c r="Y85" s="23"/>
      <c r="Z85" s="23"/>
      <c r="AA85" s="23"/>
      <c r="AB85" s="23"/>
      <c r="AC85" s="23"/>
      <c r="AD85" s="23"/>
      <c r="AE85" s="23"/>
      <c r="AF85" s="23"/>
      <c r="AG85" s="23"/>
    </row>
    <row r="86" spans="1:33" x14ac:dyDescent="0.25">
      <c r="A86" s="32">
        <v>83</v>
      </c>
      <c r="B86" s="39"/>
      <c r="C86" s="39"/>
      <c r="D86" s="39"/>
      <c r="E86" s="39"/>
      <c r="F86" s="39"/>
      <c r="G86" s="39"/>
      <c r="H86" s="39"/>
      <c r="I86" s="40"/>
      <c r="J86" s="39"/>
      <c r="K86" s="23"/>
      <c r="L86" s="23"/>
      <c r="M86" s="23"/>
      <c r="N86" s="23"/>
      <c r="O86" s="23"/>
      <c r="P86" s="23"/>
      <c r="Q86" s="23"/>
      <c r="R86" s="23"/>
      <c r="S86" s="23"/>
      <c r="T86" s="23"/>
      <c r="U86" s="23"/>
      <c r="V86" s="23"/>
      <c r="W86" s="23"/>
      <c r="X86" s="23"/>
      <c r="Y86" s="23"/>
      <c r="Z86" s="23"/>
      <c r="AA86" s="23"/>
      <c r="AB86" s="23"/>
      <c r="AC86" s="23"/>
      <c r="AD86" s="23"/>
      <c r="AE86" s="23"/>
      <c r="AF86" s="23"/>
      <c r="AG86" s="23"/>
    </row>
    <row r="87" spans="1:33" x14ac:dyDescent="0.25">
      <c r="A87" s="32">
        <v>84</v>
      </c>
      <c r="B87" s="39"/>
      <c r="C87" s="39"/>
      <c r="D87" s="39"/>
      <c r="E87" s="39"/>
      <c r="F87" s="39"/>
      <c r="G87" s="39"/>
      <c r="H87" s="39"/>
      <c r="I87" s="40"/>
      <c r="J87" s="39"/>
      <c r="K87" s="23"/>
      <c r="L87" s="23"/>
      <c r="M87" s="23"/>
      <c r="N87" s="23"/>
      <c r="O87" s="23"/>
      <c r="P87" s="23"/>
      <c r="Q87" s="23"/>
      <c r="R87" s="23"/>
      <c r="S87" s="23"/>
      <c r="T87" s="23"/>
      <c r="U87" s="23"/>
      <c r="V87" s="23"/>
      <c r="W87" s="23"/>
      <c r="X87" s="23"/>
      <c r="Y87" s="23"/>
      <c r="Z87" s="23"/>
      <c r="AA87" s="23"/>
      <c r="AB87" s="23"/>
      <c r="AC87" s="23"/>
      <c r="AD87" s="23"/>
      <c r="AE87" s="23"/>
      <c r="AF87" s="23"/>
      <c r="AG87" s="23"/>
    </row>
    <row r="88" spans="1:33" x14ac:dyDescent="0.25">
      <c r="A88" s="32">
        <v>85</v>
      </c>
      <c r="B88" s="39"/>
      <c r="C88" s="39"/>
      <c r="D88" s="39"/>
      <c r="E88" s="39"/>
      <c r="F88" s="39"/>
      <c r="G88" s="39"/>
      <c r="H88" s="39"/>
      <c r="I88" s="40"/>
      <c r="J88" s="39"/>
      <c r="K88" s="23"/>
      <c r="L88" s="23"/>
      <c r="M88" s="23"/>
      <c r="N88" s="23"/>
      <c r="O88" s="23"/>
      <c r="P88" s="23"/>
      <c r="Q88" s="23"/>
      <c r="R88" s="23"/>
      <c r="S88" s="23"/>
      <c r="T88" s="23"/>
      <c r="U88" s="23"/>
      <c r="V88" s="23"/>
      <c r="W88" s="23"/>
      <c r="X88" s="23"/>
      <c r="Y88" s="23"/>
      <c r="Z88" s="23"/>
      <c r="AA88" s="23"/>
      <c r="AB88" s="23"/>
      <c r="AC88" s="23"/>
      <c r="AD88" s="23"/>
      <c r="AE88" s="23"/>
      <c r="AF88" s="23"/>
      <c r="AG88" s="23"/>
    </row>
    <row r="89" spans="1:33" x14ac:dyDescent="0.25">
      <c r="A89" s="32">
        <v>86</v>
      </c>
      <c r="B89" s="39"/>
      <c r="C89" s="39"/>
      <c r="D89" s="39"/>
      <c r="E89" s="39"/>
      <c r="F89" s="39"/>
      <c r="G89" s="39"/>
      <c r="H89" s="39"/>
      <c r="I89" s="40"/>
      <c r="J89" s="39"/>
      <c r="K89" s="23"/>
      <c r="L89" s="23"/>
      <c r="M89" s="23"/>
      <c r="N89" s="23"/>
      <c r="O89" s="23"/>
      <c r="P89" s="23"/>
      <c r="Q89" s="23"/>
      <c r="R89" s="23"/>
      <c r="S89" s="23"/>
      <c r="T89" s="23"/>
      <c r="U89" s="23"/>
      <c r="V89" s="23"/>
      <c r="W89" s="23"/>
      <c r="X89" s="23"/>
      <c r="Y89" s="23"/>
      <c r="Z89" s="23"/>
      <c r="AA89" s="23"/>
      <c r="AB89" s="23"/>
      <c r="AC89" s="23"/>
      <c r="AD89" s="23"/>
      <c r="AE89" s="23"/>
      <c r="AF89" s="23"/>
      <c r="AG89" s="23"/>
    </row>
    <row r="90" spans="1:33" x14ac:dyDescent="0.25">
      <c r="A90" s="32">
        <v>87</v>
      </c>
      <c r="B90" s="39"/>
      <c r="C90" s="39"/>
      <c r="D90" s="39"/>
      <c r="E90" s="39"/>
      <c r="F90" s="39"/>
      <c r="G90" s="39"/>
      <c r="H90" s="39"/>
      <c r="I90" s="40"/>
      <c r="J90" s="39"/>
      <c r="K90" s="23"/>
      <c r="L90" s="23"/>
      <c r="M90" s="23"/>
      <c r="N90" s="23"/>
      <c r="O90" s="23"/>
      <c r="P90" s="23"/>
      <c r="Q90" s="23"/>
      <c r="R90" s="23"/>
      <c r="S90" s="23"/>
      <c r="T90" s="23"/>
      <c r="U90" s="23"/>
      <c r="V90" s="23"/>
      <c r="W90" s="23"/>
      <c r="X90" s="23"/>
      <c r="Y90" s="23"/>
      <c r="Z90" s="23"/>
      <c r="AA90" s="23"/>
      <c r="AB90" s="23"/>
      <c r="AC90" s="23"/>
      <c r="AD90" s="23"/>
      <c r="AE90" s="23"/>
      <c r="AF90" s="23"/>
      <c r="AG90" s="23"/>
    </row>
    <row r="91" spans="1:33" x14ac:dyDescent="0.25">
      <c r="A91" s="32">
        <v>88</v>
      </c>
      <c r="B91" s="39"/>
      <c r="C91" s="39"/>
      <c r="D91" s="39"/>
      <c r="E91" s="39"/>
      <c r="F91" s="39"/>
      <c r="G91" s="39"/>
      <c r="H91" s="39"/>
      <c r="I91" s="40"/>
      <c r="J91" s="39"/>
      <c r="K91" s="23"/>
      <c r="L91" s="23"/>
      <c r="M91" s="23"/>
      <c r="N91" s="23"/>
      <c r="O91" s="23"/>
      <c r="P91" s="23"/>
      <c r="Q91" s="23"/>
      <c r="R91" s="23"/>
      <c r="S91" s="23"/>
      <c r="T91" s="23"/>
      <c r="U91" s="23"/>
      <c r="V91" s="23"/>
      <c r="W91" s="23"/>
      <c r="X91" s="23"/>
      <c r="Y91" s="23"/>
      <c r="Z91" s="23"/>
      <c r="AA91" s="23"/>
      <c r="AB91" s="23"/>
      <c r="AC91" s="23"/>
      <c r="AD91" s="23"/>
      <c r="AE91" s="23"/>
      <c r="AF91" s="23"/>
      <c r="AG91" s="23"/>
    </row>
    <row r="92" spans="1:33" x14ac:dyDescent="0.25">
      <c r="A92" s="32">
        <v>89</v>
      </c>
      <c r="B92" s="39"/>
      <c r="C92" s="39"/>
      <c r="D92" s="39"/>
      <c r="E92" s="39"/>
      <c r="F92" s="39"/>
      <c r="G92" s="39"/>
      <c r="H92" s="39"/>
      <c r="I92" s="40"/>
      <c r="J92" s="39"/>
      <c r="K92" s="23"/>
      <c r="L92" s="23"/>
      <c r="M92" s="23"/>
      <c r="N92" s="23"/>
      <c r="O92" s="23"/>
      <c r="P92" s="23"/>
      <c r="Q92" s="23"/>
      <c r="R92" s="23"/>
      <c r="S92" s="23"/>
      <c r="T92" s="23"/>
      <c r="U92" s="23"/>
      <c r="V92" s="23"/>
      <c r="W92" s="23"/>
      <c r="X92" s="23"/>
      <c r="Y92" s="23"/>
      <c r="Z92" s="23"/>
      <c r="AA92" s="23"/>
      <c r="AB92" s="23"/>
      <c r="AC92" s="23"/>
      <c r="AD92" s="23"/>
      <c r="AE92" s="23"/>
      <c r="AF92" s="23"/>
      <c r="AG92" s="23"/>
    </row>
    <row r="93" spans="1:33" x14ac:dyDescent="0.25">
      <c r="A93" s="32">
        <v>90</v>
      </c>
      <c r="B93" s="39"/>
      <c r="C93" s="39"/>
      <c r="D93" s="39"/>
      <c r="E93" s="39"/>
      <c r="F93" s="39"/>
      <c r="G93" s="39"/>
      <c r="H93" s="39"/>
      <c r="I93" s="40"/>
      <c r="J93" s="39"/>
      <c r="K93" s="23"/>
      <c r="L93" s="23"/>
      <c r="M93" s="23"/>
      <c r="N93" s="23"/>
      <c r="O93" s="23"/>
      <c r="P93" s="23"/>
      <c r="Q93" s="23"/>
      <c r="R93" s="23"/>
      <c r="S93" s="23"/>
      <c r="T93" s="23"/>
      <c r="U93" s="23"/>
      <c r="V93" s="23"/>
      <c r="W93" s="23"/>
      <c r="X93" s="23"/>
      <c r="Y93" s="23"/>
      <c r="Z93" s="23"/>
      <c r="AA93" s="23"/>
      <c r="AB93" s="23"/>
      <c r="AC93" s="23"/>
      <c r="AD93" s="23"/>
      <c r="AE93" s="23"/>
      <c r="AF93" s="23"/>
      <c r="AG93" s="23"/>
    </row>
    <row r="94" spans="1:33" x14ac:dyDescent="0.25">
      <c r="A94" s="32">
        <v>91</v>
      </c>
      <c r="B94" s="39"/>
      <c r="C94" s="39"/>
      <c r="D94" s="39"/>
      <c r="E94" s="39"/>
      <c r="F94" s="39"/>
      <c r="G94" s="39"/>
      <c r="H94" s="39"/>
      <c r="I94" s="40"/>
      <c r="J94" s="39"/>
      <c r="K94" s="23"/>
      <c r="L94" s="23"/>
      <c r="M94" s="23"/>
      <c r="N94" s="23"/>
      <c r="O94" s="23"/>
      <c r="P94" s="23"/>
      <c r="Q94" s="23"/>
      <c r="R94" s="23"/>
      <c r="S94" s="23"/>
      <c r="T94" s="23"/>
      <c r="U94" s="23"/>
      <c r="V94" s="23"/>
      <c r="W94" s="23"/>
      <c r="X94" s="23"/>
      <c r="Y94" s="23"/>
      <c r="Z94" s="23"/>
      <c r="AA94" s="23"/>
      <c r="AB94" s="23"/>
      <c r="AC94" s="23"/>
      <c r="AD94" s="23"/>
      <c r="AE94" s="23"/>
      <c r="AF94" s="23"/>
      <c r="AG94" s="23"/>
    </row>
    <row r="95" spans="1:33" x14ac:dyDescent="0.25">
      <c r="A95" s="32">
        <v>92</v>
      </c>
      <c r="B95" s="39"/>
      <c r="C95" s="39"/>
      <c r="D95" s="39"/>
      <c r="E95" s="39"/>
      <c r="F95" s="39"/>
      <c r="G95" s="39"/>
      <c r="H95" s="39"/>
      <c r="I95" s="40"/>
      <c r="J95" s="39"/>
      <c r="K95" s="23"/>
      <c r="L95" s="23"/>
      <c r="M95" s="23"/>
      <c r="N95" s="23"/>
      <c r="O95" s="23"/>
      <c r="P95" s="23"/>
      <c r="Q95" s="23"/>
      <c r="R95" s="23"/>
      <c r="S95" s="23"/>
      <c r="T95" s="23"/>
      <c r="U95" s="23"/>
      <c r="V95" s="23"/>
      <c r="W95" s="23"/>
      <c r="X95" s="23"/>
      <c r="Y95" s="23"/>
      <c r="Z95" s="23"/>
      <c r="AA95" s="23"/>
      <c r="AB95" s="23"/>
      <c r="AC95" s="23"/>
      <c r="AD95" s="23"/>
      <c r="AE95" s="23"/>
      <c r="AF95" s="23"/>
      <c r="AG95" s="23"/>
    </row>
    <row r="96" spans="1:33" x14ac:dyDescent="0.25">
      <c r="A96" s="32">
        <v>93</v>
      </c>
      <c r="B96" s="39"/>
      <c r="C96" s="39"/>
      <c r="D96" s="39"/>
      <c r="E96" s="39"/>
      <c r="F96" s="39"/>
      <c r="G96" s="39"/>
      <c r="H96" s="39"/>
      <c r="I96" s="40"/>
      <c r="J96" s="39"/>
      <c r="K96" s="23"/>
      <c r="L96" s="23"/>
      <c r="M96" s="23"/>
      <c r="N96" s="23"/>
      <c r="O96" s="23"/>
      <c r="P96" s="23"/>
      <c r="Q96" s="23"/>
      <c r="R96" s="23"/>
      <c r="S96" s="23"/>
      <c r="T96" s="23"/>
      <c r="U96" s="23"/>
      <c r="V96" s="23"/>
      <c r="W96" s="23"/>
      <c r="X96" s="23"/>
      <c r="Y96" s="23"/>
      <c r="Z96" s="23"/>
      <c r="AA96" s="23"/>
      <c r="AB96" s="23"/>
      <c r="AC96" s="23"/>
      <c r="AD96" s="23"/>
      <c r="AE96" s="23"/>
      <c r="AF96" s="23"/>
      <c r="AG96" s="23"/>
    </row>
    <row r="97" spans="1:33" x14ac:dyDescent="0.25">
      <c r="A97" s="32">
        <v>94</v>
      </c>
      <c r="B97" s="39"/>
      <c r="C97" s="39"/>
      <c r="D97" s="39"/>
      <c r="E97" s="39"/>
      <c r="F97" s="39"/>
      <c r="G97" s="39"/>
      <c r="H97" s="39"/>
      <c r="I97" s="40"/>
      <c r="J97" s="39"/>
      <c r="K97" s="23"/>
      <c r="L97" s="23"/>
      <c r="M97" s="23"/>
      <c r="N97" s="23"/>
      <c r="O97" s="23"/>
      <c r="P97" s="23"/>
      <c r="Q97" s="23"/>
      <c r="R97" s="23"/>
      <c r="S97" s="23"/>
      <c r="T97" s="23"/>
      <c r="U97" s="23"/>
      <c r="V97" s="23"/>
      <c r="W97" s="23"/>
      <c r="X97" s="23"/>
      <c r="Y97" s="23"/>
      <c r="Z97" s="23"/>
      <c r="AA97" s="23"/>
      <c r="AB97" s="23"/>
      <c r="AC97" s="23"/>
      <c r="AD97" s="23"/>
      <c r="AE97" s="23"/>
      <c r="AF97" s="23"/>
      <c r="AG97" s="23"/>
    </row>
    <row r="98" spans="1:33" x14ac:dyDescent="0.25">
      <c r="A98" s="32">
        <v>95</v>
      </c>
      <c r="B98" s="39"/>
      <c r="C98" s="39"/>
      <c r="D98" s="39"/>
      <c r="E98" s="39"/>
      <c r="F98" s="39"/>
      <c r="G98" s="39"/>
      <c r="H98" s="39"/>
      <c r="I98" s="40"/>
      <c r="J98" s="39"/>
      <c r="K98" s="23"/>
      <c r="L98" s="23"/>
      <c r="M98" s="23"/>
      <c r="N98" s="23"/>
      <c r="O98" s="23"/>
      <c r="P98" s="23"/>
      <c r="Q98" s="23"/>
      <c r="R98" s="23"/>
      <c r="S98" s="23"/>
      <c r="T98" s="23"/>
      <c r="U98" s="23"/>
      <c r="V98" s="23"/>
      <c r="W98" s="23"/>
      <c r="X98" s="23"/>
      <c r="Y98" s="23"/>
      <c r="Z98" s="23"/>
      <c r="AA98" s="23"/>
      <c r="AB98" s="23"/>
      <c r="AC98" s="23"/>
      <c r="AD98" s="23"/>
      <c r="AE98" s="23"/>
      <c r="AF98" s="23"/>
      <c r="AG98" s="23"/>
    </row>
    <row r="99" spans="1:33" x14ac:dyDescent="0.25">
      <c r="A99" s="32">
        <v>96</v>
      </c>
      <c r="B99" s="39"/>
      <c r="C99" s="39"/>
      <c r="D99" s="39"/>
      <c r="E99" s="39"/>
      <c r="F99" s="39"/>
      <c r="G99" s="39"/>
      <c r="H99" s="39"/>
      <c r="I99" s="40"/>
      <c r="J99" s="39"/>
      <c r="K99" s="23"/>
      <c r="L99" s="23"/>
      <c r="M99" s="23"/>
      <c r="N99" s="23"/>
      <c r="O99" s="23"/>
      <c r="P99" s="23"/>
      <c r="Q99" s="23"/>
      <c r="R99" s="23"/>
      <c r="S99" s="23"/>
      <c r="T99" s="23"/>
      <c r="U99" s="23"/>
      <c r="V99" s="23"/>
      <c r="W99" s="23"/>
      <c r="X99" s="23"/>
      <c r="Y99" s="23"/>
      <c r="Z99" s="23"/>
      <c r="AA99" s="23"/>
      <c r="AB99" s="23"/>
      <c r="AC99" s="23"/>
      <c r="AD99" s="23"/>
      <c r="AE99" s="23"/>
      <c r="AF99" s="23"/>
      <c r="AG99" s="23"/>
    </row>
    <row r="100" spans="1:33" x14ac:dyDescent="0.25">
      <c r="A100" s="32">
        <v>97</v>
      </c>
      <c r="B100" s="39"/>
      <c r="C100" s="39"/>
      <c r="D100" s="39"/>
      <c r="E100" s="39"/>
      <c r="F100" s="39"/>
      <c r="G100" s="39"/>
      <c r="H100" s="39"/>
      <c r="I100" s="40"/>
      <c r="J100" s="39"/>
      <c r="K100" s="23"/>
      <c r="L100" s="23"/>
      <c r="M100" s="23"/>
      <c r="N100" s="23"/>
      <c r="O100" s="23"/>
      <c r="P100" s="23"/>
      <c r="Q100" s="23"/>
      <c r="R100" s="23"/>
      <c r="S100" s="23"/>
      <c r="T100" s="23"/>
      <c r="U100" s="23"/>
      <c r="V100" s="23"/>
      <c r="W100" s="23"/>
      <c r="X100" s="23"/>
      <c r="Y100" s="23"/>
      <c r="Z100" s="23"/>
      <c r="AA100" s="23"/>
      <c r="AB100" s="23"/>
      <c r="AC100" s="23"/>
      <c r="AD100" s="23"/>
      <c r="AE100" s="23"/>
      <c r="AF100" s="23"/>
      <c r="AG100" s="23"/>
    </row>
    <row r="101" spans="1:33" x14ac:dyDescent="0.25">
      <c r="A101" s="32">
        <v>98</v>
      </c>
      <c r="B101" s="39"/>
      <c r="C101" s="39"/>
      <c r="D101" s="39"/>
      <c r="E101" s="39"/>
      <c r="F101" s="39"/>
      <c r="G101" s="39"/>
      <c r="H101" s="39"/>
      <c r="I101" s="40"/>
      <c r="J101" s="39"/>
      <c r="K101" s="23"/>
      <c r="L101" s="23"/>
      <c r="M101" s="23"/>
      <c r="N101" s="23"/>
      <c r="O101" s="23"/>
      <c r="P101" s="23"/>
      <c r="Q101" s="23"/>
      <c r="R101" s="23"/>
      <c r="S101" s="23"/>
      <c r="T101" s="23"/>
      <c r="U101" s="23"/>
      <c r="V101" s="23"/>
      <c r="W101" s="23"/>
      <c r="X101" s="23"/>
      <c r="Y101" s="23"/>
      <c r="Z101" s="23"/>
      <c r="AA101" s="23"/>
      <c r="AB101" s="23"/>
      <c r="AC101" s="23"/>
      <c r="AD101" s="23"/>
      <c r="AE101" s="23"/>
      <c r="AF101" s="23"/>
      <c r="AG101" s="23"/>
    </row>
    <row r="102" spans="1:33" x14ac:dyDescent="0.25">
      <c r="A102" s="32">
        <v>99</v>
      </c>
      <c r="B102" s="39"/>
      <c r="C102" s="39"/>
      <c r="D102" s="39"/>
      <c r="E102" s="39"/>
      <c r="F102" s="39"/>
      <c r="G102" s="39"/>
      <c r="H102" s="39"/>
      <c r="I102" s="40"/>
      <c r="J102" s="39"/>
      <c r="K102" s="23"/>
      <c r="L102" s="23"/>
      <c r="M102" s="23"/>
      <c r="N102" s="23"/>
      <c r="O102" s="23"/>
      <c r="P102" s="23"/>
      <c r="Q102" s="23"/>
      <c r="R102" s="23"/>
      <c r="S102" s="23"/>
      <c r="T102" s="23"/>
      <c r="U102" s="23"/>
      <c r="V102" s="23"/>
      <c r="W102" s="23"/>
      <c r="X102" s="23"/>
      <c r="Y102" s="23"/>
      <c r="Z102" s="23"/>
      <c r="AA102" s="23"/>
      <c r="AB102" s="23"/>
      <c r="AC102" s="23"/>
      <c r="AD102" s="23"/>
      <c r="AE102" s="23"/>
      <c r="AF102" s="23"/>
      <c r="AG102" s="23"/>
    </row>
    <row r="103" spans="1:33" x14ac:dyDescent="0.25">
      <c r="A103" s="32">
        <v>100</v>
      </c>
      <c r="B103" s="39"/>
      <c r="C103" s="39"/>
      <c r="D103" s="39"/>
      <c r="E103" s="39"/>
      <c r="F103" s="39"/>
      <c r="G103" s="39"/>
      <c r="H103" s="39"/>
      <c r="I103" s="40"/>
      <c r="J103" s="39"/>
      <c r="K103" s="23"/>
      <c r="L103" s="23"/>
      <c r="M103" s="23"/>
      <c r="N103" s="23"/>
      <c r="O103" s="23"/>
      <c r="P103" s="23"/>
      <c r="Q103" s="23"/>
      <c r="R103" s="23"/>
      <c r="S103" s="23"/>
      <c r="T103" s="23"/>
      <c r="U103" s="23"/>
      <c r="V103" s="23"/>
      <c r="W103" s="23"/>
      <c r="X103" s="23"/>
      <c r="Y103" s="23"/>
      <c r="Z103" s="23"/>
      <c r="AA103" s="23"/>
      <c r="AB103" s="23"/>
      <c r="AC103" s="23"/>
      <c r="AD103" s="23"/>
      <c r="AE103" s="23"/>
      <c r="AF103" s="23"/>
      <c r="AG103" s="23"/>
    </row>
    <row r="104" spans="1:33" x14ac:dyDescent="0.25">
      <c r="A104" s="32">
        <v>101</v>
      </c>
      <c r="B104" s="39"/>
      <c r="C104" s="39"/>
      <c r="D104" s="39"/>
      <c r="E104" s="39"/>
      <c r="F104" s="39"/>
      <c r="G104" s="39"/>
      <c r="H104" s="39"/>
      <c r="I104" s="40"/>
      <c r="J104" s="39"/>
      <c r="K104" s="23"/>
      <c r="L104" s="23"/>
      <c r="M104" s="23"/>
      <c r="N104" s="23"/>
      <c r="O104" s="23"/>
      <c r="P104" s="23"/>
      <c r="Q104" s="23"/>
      <c r="R104" s="23"/>
      <c r="S104" s="23"/>
      <c r="T104" s="23"/>
      <c r="U104" s="23"/>
      <c r="V104" s="23"/>
      <c r="W104" s="23"/>
      <c r="X104" s="23"/>
      <c r="Y104" s="23"/>
      <c r="Z104" s="23"/>
      <c r="AA104" s="23"/>
      <c r="AB104" s="23"/>
      <c r="AC104" s="23"/>
      <c r="AD104" s="23"/>
      <c r="AE104" s="23"/>
      <c r="AF104" s="23"/>
      <c r="AG104" s="23"/>
    </row>
    <row r="105" spans="1:33" x14ac:dyDescent="0.25">
      <c r="A105" s="178" t="s">
        <v>212</v>
      </c>
      <c r="B105" s="178"/>
      <c r="C105" s="178"/>
      <c r="D105" s="178"/>
      <c r="E105" s="178"/>
      <c r="F105" s="178"/>
      <c r="G105" s="178"/>
      <c r="H105" s="178"/>
      <c r="I105" s="179"/>
      <c r="J105" s="178"/>
      <c r="K105" s="23"/>
      <c r="L105" s="23"/>
      <c r="M105" s="23"/>
      <c r="N105" s="23"/>
      <c r="O105" s="23"/>
      <c r="P105" s="23"/>
      <c r="Q105" s="23"/>
      <c r="R105" s="23"/>
      <c r="S105" s="23"/>
      <c r="T105" s="23"/>
      <c r="U105" s="23"/>
      <c r="V105" s="23"/>
      <c r="W105" s="23"/>
      <c r="X105" s="23"/>
      <c r="Y105" s="23"/>
      <c r="Z105" s="23"/>
      <c r="AA105" s="23"/>
      <c r="AB105" s="23"/>
      <c r="AC105" s="23"/>
      <c r="AD105" s="23"/>
      <c r="AE105" s="23"/>
      <c r="AF105" s="23"/>
      <c r="AG105" s="23"/>
    </row>
    <row r="106" spans="1:33" x14ac:dyDescent="0.25">
      <c r="A106" s="73"/>
      <c r="B106" s="20"/>
      <c r="C106" s="20"/>
      <c r="D106" s="20"/>
      <c r="E106" s="20"/>
      <c r="F106" s="20"/>
      <c r="G106" s="20"/>
      <c r="H106" s="20"/>
      <c r="I106" s="22"/>
      <c r="J106" s="20"/>
      <c r="K106" s="23"/>
      <c r="L106" s="23"/>
      <c r="M106" s="23"/>
      <c r="N106" s="23"/>
      <c r="O106" s="23"/>
      <c r="P106" s="23"/>
      <c r="Q106" s="23"/>
      <c r="R106" s="23"/>
      <c r="S106" s="23"/>
      <c r="T106" s="23"/>
      <c r="U106" s="23"/>
      <c r="V106" s="23"/>
      <c r="W106" s="23"/>
      <c r="X106" s="23"/>
      <c r="Y106" s="23"/>
      <c r="Z106" s="23"/>
      <c r="AA106" s="23"/>
      <c r="AB106" s="23"/>
      <c r="AC106" s="23"/>
      <c r="AD106" s="23"/>
      <c r="AE106" s="23"/>
      <c r="AF106" s="23"/>
      <c r="AG106" s="23"/>
    </row>
  </sheetData>
  <mergeCells count="2">
    <mergeCell ref="L4:AE4"/>
    <mergeCell ref="L16:AE16"/>
  </mergeCells>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AG32"/>
  <sheetViews>
    <sheetView showGridLines="0" workbookViewId="0">
      <selection activeCell="Q1" sqref="Q1"/>
    </sheetView>
  </sheetViews>
  <sheetFormatPr defaultRowHeight="15.75" x14ac:dyDescent="0.25"/>
  <cols>
    <col min="1" max="1" width="7.875" bestFit="1" customWidth="1"/>
    <col min="2" max="3" width="10" bestFit="1" customWidth="1"/>
    <col min="4" max="4" width="19" bestFit="1" customWidth="1"/>
    <col min="5" max="5" width="8.375" bestFit="1" customWidth="1"/>
    <col min="6" max="6" width="5.375" bestFit="1" customWidth="1"/>
    <col min="7" max="7" width="5.875" bestFit="1" customWidth="1"/>
    <col min="8" max="8" width="11.875" bestFit="1" customWidth="1"/>
    <col min="9" max="9" width="11.875" customWidth="1"/>
    <col min="10" max="10" width="12.125" bestFit="1" customWidth="1"/>
    <col min="11" max="11" width="3.75" customWidth="1"/>
    <col min="12" max="31" width="3.625" customWidth="1"/>
    <col min="32" max="32" width="3" customWidth="1"/>
  </cols>
  <sheetData>
    <row r="1" spans="1:33" x14ac:dyDescent="0.25">
      <c r="A1" s="16"/>
      <c r="B1" s="16"/>
      <c r="C1" s="16"/>
      <c r="D1" s="16"/>
      <c r="E1" s="16"/>
      <c r="F1" s="16"/>
      <c r="G1" s="16"/>
      <c r="H1" s="16"/>
      <c r="I1" s="16"/>
      <c r="J1" s="16"/>
      <c r="K1" s="16"/>
      <c r="L1" s="16"/>
      <c r="M1" s="16"/>
      <c r="N1" s="16"/>
      <c r="O1" s="16"/>
      <c r="P1" s="16"/>
      <c r="Q1" s="16"/>
      <c r="R1" s="16"/>
      <c r="S1" s="17">
        <f t="shared" ref="S1:AB1" si="0">VLOOKUP(MAX($A$3:$A$147),$A$3:$H$147,2)</f>
        <v>0</v>
      </c>
      <c r="T1" s="17">
        <f t="shared" si="0"/>
        <v>0</v>
      </c>
      <c r="U1" s="17">
        <f t="shared" si="0"/>
        <v>0</v>
      </c>
      <c r="V1" s="17">
        <f t="shared" si="0"/>
        <v>0</v>
      </c>
      <c r="W1" s="17">
        <f t="shared" si="0"/>
        <v>0</v>
      </c>
      <c r="X1" s="17">
        <f t="shared" si="0"/>
        <v>0</v>
      </c>
      <c r="Y1" s="17">
        <f t="shared" si="0"/>
        <v>0</v>
      </c>
      <c r="Z1" s="17">
        <f t="shared" si="0"/>
        <v>0</v>
      </c>
      <c r="AA1" s="17">
        <f t="shared" si="0"/>
        <v>0</v>
      </c>
      <c r="AB1" s="17">
        <f t="shared" si="0"/>
        <v>0</v>
      </c>
      <c r="AC1" s="18"/>
      <c r="AD1" s="18"/>
      <c r="AE1" s="18"/>
      <c r="AF1" s="18"/>
      <c r="AG1" s="18"/>
    </row>
    <row r="2" spans="1:33" ht="16.5" thickBot="1" x14ac:dyDescent="0.3">
      <c r="A2" s="180" t="s">
        <v>213</v>
      </c>
      <c r="B2" s="20"/>
      <c r="C2" s="20">
        <f>MAX(A4:A105)</f>
        <v>7</v>
      </c>
      <c r="D2" s="20"/>
      <c r="E2" s="20"/>
      <c r="F2" s="20"/>
      <c r="G2" s="20"/>
      <c r="H2" s="20"/>
      <c r="I2" s="22"/>
      <c r="J2" s="20"/>
      <c r="K2" s="23"/>
      <c r="L2" s="23"/>
      <c r="M2" s="23"/>
      <c r="N2" s="23"/>
      <c r="O2" s="23"/>
      <c r="P2" s="23"/>
      <c r="Q2" s="23"/>
      <c r="R2" s="23"/>
      <c r="S2" s="23"/>
      <c r="T2" s="23"/>
      <c r="U2" s="23"/>
      <c r="V2" s="23"/>
      <c r="W2" s="23"/>
      <c r="X2" s="23"/>
      <c r="Y2" s="23"/>
      <c r="Z2" s="23"/>
      <c r="AA2" s="23"/>
      <c r="AB2" s="23"/>
      <c r="AC2" s="23"/>
      <c r="AD2" s="23"/>
      <c r="AE2" s="23"/>
      <c r="AF2" s="23"/>
      <c r="AG2" s="23"/>
    </row>
    <row r="3" spans="1:33" x14ac:dyDescent="0.25">
      <c r="A3" s="68" t="s">
        <v>38</v>
      </c>
      <c r="B3" s="69" t="s">
        <v>39</v>
      </c>
      <c r="C3" s="69" t="s">
        <v>40</v>
      </c>
      <c r="D3" s="69" t="s">
        <v>41</v>
      </c>
      <c r="E3" s="68" t="s">
        <v>42</v>
      </c>
      <c r="F3" s="68" t="s">
        <v>43</v>
      </c>
      <c r="G3" s="68" t="s">
        <v>44</v>
      </c>
      <c r="H3" s="68" t="s">
        <v>45</v>
      </c>
      <c r="I3" s="68" t="s">
        <v>46</v>
      </c>
      <c r="J3" s="68" t="s">
        <v>47</v>
      </c>
      <c r="K3" s="23"/>
      <c r="L3" s="29"/>
      <c r="M3" s="30"/>
      <c r="N3" s="30"/>
      <c r="O3" s="30"/>
      <c r="P3" s="30"/>
      <c r="Q3" s="30"/>
      <c r="R3" s="30"/>
      <c r="S3" s="30"/>
      <c r="T3" s="30"/>
      <c r="U3" s="30"/>
      <c r="V3" s="30"/>
      <c r="W3" s="30"/>
      <c r="X3" s="30"/>
      <c r="Y3" s="30"/>
      <c r="Z3" s="30"/>
      <c r="AA3" s="30"/>
      <c r="AB3" s="30"/>
      <c r="AC3" s="30"/>
      <c r="AD3" s="30"/>
      <c r="AE3" s="31"/>
      <c r="AF3" s="23"/>
      <c r="AG3" s="23"/>
    </row>
    <row r="4" spans="1:33" x14ac:dyDescent="0.25">
      <c r="A4" s="32">
        <f>IF(ISTEXT(B4),1,)</f>
        <v>1</v>
      </c>
      <c r="B4" s="33" t="s">
        <v>48</v>
      </c>
      <c r="C4" s="34" t="s">
        <v>49</v>
      </c>
      <c r="D4" s="34" t="s">
        <v>50</v>
      </c>
      <c r="E4" s="34" t="s">
        <v>51</v>
      </c>
      <c r="F4" s="35" t="s">
        <v>52</v>
      </c>
      <c r="G4" s="35">
        <v>30062</v>
      </c>
      <c r="H4" s="33" t="s">
        <v>53</v>
      </c>
      <c r="I4" s="37" t="s">
        <v>54</v>
      </c>
      <c r="J4" s="70">
        <v>157665</v>
      </c>
      <c r="K4" s="23"/>
      <c r="L4" s="300" t="s">
        <v>55</v>
      </c>
      <c r="M4" s="301"/>
      <c r="N4" s="301"/>
      <c r="O4" s="301"/>
      <c r="P4" s="301"/>
      <c r="Q4" s="301"/>
      <c r="R4" s="301"/>
      <c r="S4" s="301"/>
      <c r="T4" s="301"/>
      <c r="U4" s="301"/>
      <c r="V4" s="301"/>
      <c r="W4" s="301"/>
      <c r="X4" s="301"/>
      <c r="Y4" s="301"/>
      <c r="Z4" s="301"/>
      <c r="AA4" s="301"/>
      <c r="AB4" s="301"/>
      <c r="AC4" s="301"/>
      <c r="AD4" s="301"/>
      <c r="AE4" s="302"/>
      <c r="AF4" s="23"/>
      <c r="AG4" s="23"/>
    </row>
    <row r="5" spans="1:33" x14ac:dyDescent="0.25">
      <c r="A5" s="32">
        <f>IF(ISTEXT($B5),COUNT($A$3:$A4)+1,)</f>
        <v>2</v>
      </c>
      <c r="B5" s="39" t="s">
        <v>56</v>
      </c>
      <c r="C5" s="39" t="s">
        <v>57</v>
      </c>
      <c r="D5" s="39" t="s">
        <v>58</v>
      </c>
      <c r="E5" s="39" t="s">
        <v>51</v>
      </c>
      <c r="F5" s="40" t="s">
        <v>52</v>
      </c>
      <c r="G5" s="40">
        <v>30063</v>
      </c>
      <c r="H5" s="42" t="s">
        <v>59</v>
      </c>
      <c r="I5" s="43" t="s">
        <v>60</v>
      </c>
      <c r="J5" s="71">
        <v>156340</v>
      </c>
      <c r="K5" s="23"/>
      <c r="L5" s="45"/>
      <c r="M5" s="46"/>
      <c r="N5" s="46"/>
      <c r="O5" s="46"/>
      <c r="P5" s="46"/>
      <c r="Q5" s="46"/>
      <c r="R5" s="46"/>
      <c r="S5" s="46"/>
      <c r="T5" s="46"/>
      <c r="U5" s="46"/>
      <c r="V5" s="46"/>
      <c r="W5" s="46"/>
      <c r="X5" s="46"/>
      <c r="Y5" s="46"/>
      <c r="Z5" s="46"/>
      <c r="AA5" s="46"/>
      <c r="AB5" s="46"/>
      <c r="AC5" s="46"/>
      <c r="AD5" s="46"/>
      <c r="AE5" s="47"/>
      <c r="AF5" s="23"/>
      <c r="AG5" s="23"/>
    </row>
    <row r="6" spans="1:33" x14ac:dyDescent="0.25">
      <c r="A6" s="32">
        <f>IF(ISTEXT($B6),COUNT($A$3:$A5)+1,)</f>
        <v>3</v>
      </c>
      <c r="B6" s="39" t="s">
        <v>61</v>
      </c>
      <c r="C6" s="42" t="s">
        <v>62</v>
      </c>
      <c r="D6" s="39" t="s">
        <v>63</v>
      </c>
      <c r="E6" s="39" t="s">
        <v>51</v>
      </c>
      <c r="F6" s="40" t="s">
        <v>52</v>
      </c>
      <c r="G6" s="40">
        <v>30064</v>
      </c>
      <c r="H6" s="42" t="s">
        <v>64</v>
      </c>
      <c r="I6" s="43" t="s">
        <v>65</v>
      </c>
      <c r="J6" s="71">
        <v>81480</v>
      </c>
      <c r="K6" s="23"/>
      <c r="L6" s="45"/>
      <c r="M6" s="48" t="s">
        <v>39</v>
      </c>
      <c r="N6" s="46"/>
      <c r="O6" s="46"/>
      <c r="P6" s="49" t="str">
        <f>INDEX($B$4:$B$105,$C$2)</f>
        <v>Collins</v>
      </c>
      <c r="Q6" s="50"/>
      <c r="R6" s="50"/>
      <c r="S6" s="50"/>
      <c r="T6" s="50"/>
      <c r="U6" s="51"/>
      <c r="V6" s="46"/>
      <c r="W6" s="52" t="s">
        <v>42</v>
      </c>
      <c r="X6" s="46"/>
      <c r="Y6" s="49" t="str">
        <f>INDEX($E$4:$E$105,$C$2)</f>
        <v>Norcross</v>
      </c>
      <c r="Z6" s="50"/>
      <c r="AA6" s="50"/>
      <c r="AB6" s="50"/>
      <c r="AC6" s="50"/>
      <c r="AD6" s="51"/>
      <c r="AE6" s="47"/>
      <c r="AF6" s="23"/>
      <c r="AG6" s="23"/>
    </row>
    <row r="7" spans="1:33" x14ac:dyDescent="0.25">
      <c r="A7" s="32">
        <f>IF(ISTEXT($B7),COUNT($A$3:$A6)+1,)</f>
        <v>4</v>
      </c>
      <c r="B7" s="39" t="s">
        <v>66</v>
      </c>
      <c r="C7" s="42" t="s">
        <v>67</v>
      </c>
      <c r="D7" s="39" t="s">
        <v>68</v>
      </c>
      <c r="E7" s="39" t="s">
        <v>51</v>
      </c>
      <c r="F7" s="40" t="s">
        <v>52</v>
      </c>
      <c r="G7" s="40">
        <v>30065</v>
      </c>
      <c r="H7" s="42" t="s">
        <v>69</v>
      </c>
      <c r="I7" s="43" t="s">
        <v>54</v>
      </c>
      <c r="J7" s="71">
        <v>202578</v>
      </c>
      <c r="K7" s="23"/>
      <c r="L7" s="45"/>
      <c r="M7" s="46"/>
      <c r="N7" s="46"/>
      <c r="O7" s="46"/>
      <c r="P7" s="46"/>
      <c r="Q7" s="46"/>
      <c r="R7" s="46"/>
      <c r="S7" s="46"/>
      <c r="T7" s="46"/>
      <c r="U7" s="46"/>
      <c r="V7" s="46"/>
      <c r="W7" s="46"/>
      <c r="X7" s="46"/>
      <c r="Y7" s="46"/>
      <c r="Z7" s="46"/>
      <c r="AA7" s="46"/>
      <c r="AB7" s="46"/>
      <c r="AC7" s="46"/>
      <c r="AD7" s="46"/>
      <c r="AE7" s="47"/>
      <c r="AF7" s="23"/>
      <c r="AG7" s="23"/>
    </row>
    <row r="8" spans="1:33" x14ac:dyDescent="0.25">
      <c r="A8" s="32">
        <f>IF(ISTEXT($B8),COUNT($A$3:$A7)+1,)</f>
        <v>5</v>
      </c>
      <c r="B8" s="42" t="s">
        <v>70</v>
      </c>
      <c r="C8" s="39" t="s">
        <v>71</v>
      </c>
      <c r="D8" s="39" t="s">
        <v>72</v>
      </c>
      <c r="E8" s="39" t="s">
        <v>51</v>
      </c>
      <c r="F8" s="40" t="s">
        <v>52</v>
      </c>
      <c r="G8" s="40">
        <v>30066</v>
      </c>
      <c r="H8" s="42" t="s">
        <v>73</v>
      </c>
      <c r="I8" s="43" t="s">
        <v>60</v>
      </c>
      <c r="J8" s="71">
        <v>177209</v>
      </c>
      <c r="K8" s="23"/>
      <c r="L8" s="45"/>
      <c r="M8" s="48" t="s">
        <v>40</v>
      </c>
      <c r="N8" s="46"/>
      <c r="O8" s="46"/>
      <c r="P8" s="49" t="str">
        <f>INDEX($C$4:$C$105,$C$2)</f>
        <v>Carlton</v>
      </c>
      <c r="Q8" s="50"/>
      <c r="R8" s="50"/>
      <c r="S8" s="50"/>
      <c r="T8" s="50"/>
      <c r="U8" s="51"/>
      <c r="V8" s="46"/>
      <c r="W8" s="52" t="s">
        <v>43</v>
      </c>
      <c r="X8" s="46"/>
      <c r="Y8" s="49" t="str">
        <f>INDEX($F$4:$F$105,$C$2)</f>
        <v xml:space="preserve">GA </v>
      </c>
      <c r="Z8" s="50"/>
      <c r="AA8" s="50"/>
      <c r="AB8" s="50"/>
      <c r="AC8" s="50"/>
      <c r="AD8" s="51"/>
      <c r="AE8" s="47"/>
      <c r="AF8" s="23"/>
      <c r="AG8" s="23"/>
    </row>
    <row r="9" spans="1:33" x14ac:dyDescent="0.25">
      <c r="A9" s="32">
        <f>IF(ISTEXT($B9),COUNT($A$3:$A8)+1,)</f>
        <v>6</v>
      </c>
      <c r="B9" s="39" t="s">
        <v>74</v>
      </c>
      <c r="C9" s="39" t="s">
        <v>75</v>
      </c>
      <c r="D9" s="39" t="s">
        <v>76</v>
      </c>
      <c r="E9" s="39" t="s">
        <v>77</v>
      </c>
      <c r="F9" s="40" t="s">
        <v>52</v>
      </c>
      <c r="G9" s="40">
        <v>30092</v>
      </c>
      <c r="H9" s="42" t="s">
        <v>78</v>
      </c>
      <c r="I9" s="43" t="s">
        <v>65</v>
      </c>
      <c r="J9" s="71">
        <v>212254.23</v>
      </c>
      <c r="K9" s="23"/>
      <c r="L9" s="45"/>
      <c r="M9" s="46"/>
      <c r="N9" s="46"/>
      <c r="O9" s="46"/>
      <c r="P9" s="46"/>
      <c r="Q9" s="46"/>
      <c r="R9" s="46"/>
      <c r="S9" s="46"/>
      <c r="T9" s="46"/>
      <c r="U9" s="46"/>
      <c r="V9" s="46"/>
      <c r="W9" s="46"/>
      <c r="X9" s="46"/>
      <c r="Y9" s="46"/>
      <c r="Z9" s="46"/>
      <c r="AA9" s="46"/>
      <c r="AB9" s="46"/>
      <c r="AC9" s="46"/>
      <c r="AD9" s="46"/>
      <c r="AE9" s="47"/>
      <c r="AF9" s="23"/>
      <c r="AG9" s="23"/>
    </row>
    <row r="10" spans="1:33" x14ac:dyDescent="0.25">
      <c r="A10" s="32">
        <f>IF(ISTEXT($B10),COUNT($A$3:$A9)+1,)</f>
        <v>7</v>
      </c>
      <c r="B10" s="39" t="s">
        <v>79</v>
      </c>
      <c r="C10" s="39" t="s">
        <v>80</v>
      </c>
      <c r="D10" s="39" t="s">
        <v>50</v>
      </c>
      <c r="E10" s="39" t="s">
        <v>81</v>
      </c>
      <c r="F10" s="40" t="s">
        <v>82</v>
      </c>
      <c r="G10" s="40">
        <v>30092</v>
      </c>
      <c r="H10" s="42" t="s">
        <v>53</v>
      </c>
      <c r="I10" s="43" t="s">
        <v>54</v>
      </c>
      <c r="J10" s="71">
        <v>124533.45</v>
      </c>
      <c r="K10" s="23"/>
      <c r="L10" s="45"/>
      <c r="M10" s="48" t="s">
        <v>41</v>
      </c>
      <c r="N10" s="46"/>
      <c r="O10" s="46"/>
      <c r="P10" s="49" t="str">
        <f>INDEX($D$4:$D$105,$C$2)</f>
        <v>100 Peachtree Street</v>
      </c>
      <c r="Q10" s="50"/>
      <c r="R10" s="50"/>
      <c r="S10" s="50"/>
      <c r="T10" s="50"/>
      <c r="U10" s="51"/>
      <c r="V10" s="46"/>
      <c r="W10" s="52" t="s">
        <v>44</v>
      </c>
      <c r="X10" s="46"/>
      <c r="Y10" s="49" t="str">
        <f>TEXT(INDEX($G$4:$G$105,$C$2),0)</f>
        <v>30092</v>
      </c>
      <c r="Z10" s="50"/>
      <c r="AA10" s="50"/>
      <c r="AB10" s="50"/>
      <c r="AC10" s="50"/>
      <c r="AD10" s="51"/>
      <c r="AE10" s="47"/>
      <c r="AF10" s="23"/>
      <c r="AG10" s="23"/>
    </row>
    <row r="11" spans="1:33" x14ac:dyDescent="0.25">
      <c r="A11" s="32">
        <f>IF(ISTEXT($B11),COUNT($A$3:$A10)+1,)</f>
        <v>0</v>
      </c>
      <c r="B11" s="39"/>
      <c r="C11" s="39"/>
      <c r="D11" s="39"/>
      <c r="E11" s="39"/>
      <c r="F11" s="39"/>
      <c r="G11" s="39"/>
      <c r="H11" s="39"/>
      <c r="I11" s="40"/>
      <c r="J11" s="39"/>
      <c r="K11" s="23"/>
      <c r="L11" s="45"/>
      <c r="M11" s="46"/>
      <c r="N11" s="46"/>
      <c r="O11" s="46"/>
      <c r="P11" s="46"/>
      <c r="Q11" s="46"/>
      <c r="R11" s="46"/>
      <c r="S11" s="46"/>
      <c r="T11" s="46"/>
      <c r="U11" s="46"/>
      <c r="V11" s="46"/>
      <c r="W11" s="46"/>
      <c r="X11" s="46"/>
      <c r="Y11" s="46"/>
      <c r="Z11" s="46"/>
      <c r="AA11" s="46"/>
      <c r="AB11" s="46"/>
      <c r="AC11" s="46"/>
      <c r="AD11" s="46"/>
      <c r="AE11" s="47"/>
      <c r="AF11" s="23"/>
      <c r="AG11" s="23"/>
    </row>
    <row r="12" spans="1:33" x14ac:dyDescent="0.25">
      <c r="A12" s="32">
        <f>IF(ISTEXT($B12),COUNT($A$3:$A11)+1,)</f>
        <v>0</v>
      </c>
      <c r="B12" s="39"/>
      <c r="C12" s="39"/>
      <c r="D12" s="39"/>
      <c r="E12" s="39"/>
      <c r="F12" s="39"/>
      <c r="G12" s="39"/>
      <c r="H12" s="39"/>
      <c r="I12" s="40"/>
      <c r="J12" s="39"/>
      <c r="K12" s="23"/>
      <c r="L12" s="45"/>
      <c r="M12" s="52" t="s">
        <v>45</v>
      </c>
      <c r="N12" s="46"/>
      <c r="O12" s="46"/>
      <c r="P12" s="49" t="str">
        <f>INDEX($H$4:$H$105,$C$2)</f>
        <v>770.842.5902</v>
      </c>
      <c r="Q12" s="50"/>
      <c r="R12" s="50"/>
      <c r="S12" s="50"/>
      <c r="T12" s="50"/>
      <c r="U12" s="51"/>
      <c r="V12" s="46"/>
      <c r="W12" s="60" t="s">
        <v>99</v>
      </c>
      <c r="X12" s="46"/>
      <c r="Y12" s="49" t="str">
        <f>INDEX($I$4:$I$105,$C$2)</f>
        <v>Plan A</v>
      </c>
      <c r="Z12" s="50"/>
      <c r="AA12" s="50"/>
      <c r="AB12" s="50"/>
      <c r="AC12" s="50"/>
      <c r="AD12" s="51"/>
      <c r="AE12" s="47"/>
      <c r="AF12" s="23"/>
      <c r="AG12" s="23"/>
    </row>
    <row r="13" spans="1:33" x14ac:dyDescent="0.25">
      <c r="A13" s="32">
        <f>IF(ISTEXT($B13),COUNT($A$3:$A12)+1,)</f>
        <v>0</v>
      </c>
      <c r="B13" s="39"/>
      <c r="C13" s="39"/>
      <c r="D13" s="39"/>
      <c r="E13" s="39"/>
      <c r="F13" s="39"/>
      <c r="G13" s="39"/>
      <c r="H13" s="39"/>
      <c r="I13" s="40"/>
      <c r="J13" s="39"/>
      <c r="K13" s="23"/>
      <c r="L13" s="45"/>
      <c r="M13" s="46"/>
      <c r="N13" s="46"/>
      <c r="O13" s="46"/>
      <c r="P13" s="46"/>
      <c r="Q13" s="46"/>
      <c r="R13" s="46"/>
      <c r="S13" s="46"/>
      <c r="T13" s="46"/>
      <c r="U13" s="46"/>
      <c r="V13" s="46"/>
      <c r="W13" s="46"/>
      <c r="X13" s="46"/>
      <c r="Y13" s="46"/>
      <c r="Z13" s="46"/>
      <c r="AA13" s="46"/>
      <c r="AB13" s="46"/>
      <c r="AC13" s="46"/>
      <c r="AD13" s="46"/>
      <c r="AE13" s="47"/>
      <c r="AF13" s="23"/>
      <c r="AG13" s="23"/>
    </row>
    <row r="14" spans="1:33" x14ac:dyDescent="0.25">
      <c r="A14" s="32">
        <f>IF(ISTEXT($B14),COUNT($A$3:$A13)+1,)</f>
        <v>0</v>
      </c>
      <c r="B14" s="39"/>
      <c r="C14" s="39"/>
      <c r="D14" s="39"/>
      <c r="E14" s="39"/>
      <c r="F14" s="39"/>
      <c r="G14" s="39"/>
      <c r="H14" s="39"/>
      <c r="I14" s="40"/>
      <c r="J14" s="39"/>
      <c r="K14" s="23"/>
      <c r="L14" s="45"/>
      <c r="M14" s="52" t="s">
        <v>90</v>
      </c>
      <c r="N14" s="46"/>
      <c r="O14" s="46"/>
      <c r="P14" s="46"/>
      <c r="Q14" s="46"/>
      <c r="R14" s="46"/>
      <c r="S14" s="46"/>
      <c r="T14" s="46"/>
      <c r="U14" s="46"/>
      <c r="V14" s="46"/>
      <c r="W14" s="46"/>
      <c r="X14" s="46"/>
      <c r="Y14" s="49" t="str">
        <f>TEXT(INDEX($J$4:$J$105,$C$2),"$#,###.##")</f>
        <v>$124,533.45</v>
      </c>
      <c r="Z14" s="50"/>
      <c r="AA14" s="50"/>
      <c r="AB14" s="50"/>
      <c r="AC14" s="50"/>
      <c r="AD14" s="51"/>
      <c r="AE14" s="47"/>
      <c r="AF14" s="23"/>
      <c r="AG14" s="23"/>
    </row>
    <row r="15" spans="1:33" x14ac:dyDescent="0.25">
      <c r="A15" s="32">
        <f>IF(ISTEXT($B15),COUNT($A$3:$A14)+1,)</f>
        <v>0</v>
      </c>
      <c r="B15" s="39"/>
      <c r="C15" s="39"/>
      <c r="D15" s="39"/>
      <c r="E15" s="39"/>
      <c r="F15" s="39"/>
      <c r="G15" s="39"/>
      <c r="H15" s="39"/>
      <c r="I15" s="40"/>
      <c r="J15" s="39"/>
      <c r="K15" s="23"/>
      <c r="L15" s="45"/>
      <c r="M15" s="46"/>
      <c r="N15" s="46"/>
      <c r="O15" s="46"/>
      <c r="P15" s="46"/>
      <c r="Q15" s="46"/>
      <c r="R15" s="46"/>
      <c r="S15" s="46"/>
      <c r="T15" s="46"/>
      <c r="U15" s="46"/>
      <c r="V15" s="46"/>
      <c r="W15" s="46"/>
      <c r="X15" s="46"/>
      <c r="Y15" s="46"/>
      <c r="Z15" s="46"/>
      <c r="AA15" s="46"/>
      <c r="AB15" s="46"/>
      <c r="AC15" s="46"/>
      <c r="AD15" s="46"/>
      <c r="AE15" s="47"/>
      <c r="AF15" s="23"/>
      <c r="AG15" s="23"/>
    </row>
    <row r="16" spans="1:33" x14ac:dyDescent="0.25">
      <c r="A16" s="32">
        <f>IF(ISTEXT($B16),COUNT($A$3:$A15)+1,)</f>
        <v>0</v>
      </c>
      <c r="B16" s="39"/>
      <c r="C16" s="39"/>
      <c r="D16" s="39"/>
      <c r="E16" s="39"/>
      <c r="F16" s="39"/>
      <c r="G16" s="39"/>
      <c r="H16" s="39"/>
      <c r="I16" s="40"/>
      <c r="J16" s="39"/>
      <c r="K16" s="23"/>
      <c r="L16" s="303" t="s">
        <v>91</v>
      </c>
      <c r="M16" s="304"/>
      <c r="N16" s="304"/>
      <c r="O16" s="304"/>
      <c r="P16" s="304"/>
      <c r="Q16" s="304"/>
      <c r="R16" s="304"/>
      <c r="S16" s="304"/>
      <c r="T16" s="304"/>
      <c r="U16" s="304"/>
      <c r="V16" s="304"/>
      <c r="W16" s="304"/>
      <c r="X16" s="304"/>
      <c r="Y16" s="304"/>
      <c r="Z16" s="304"/>
      <c r="AA16" s="304"/>
      <c r="AB16" s="304"/>
      <c r="AC16" s="304"/>
      <c r="AD16" s="304"/>
      <c r="AE16" s="305"/>
      <c r="AF16" s="23"/>
      <c r="AG16" s="23"/>
    </row>
    <row r="17" spans="1:33" ht="16.5" thickBot="1" x14ac:dyDescent="0.3">
      <c r="A17" s="32">
        <f>IF(ISTEXT($B17),COUNT($A$3:$A16)+1,)</f>
        <v>0</v>
      </c>
      <c r="B17" s="39"/>
      <c r="C17" s="39"/>
      <c r="D17" s="39"/>
      <c r="E17" s="39"/>
      <c r="F17" s="39"/>
      <c r="G17" s="39"/>
      <c r="H17" s="39"/>
      <c r="I17" s="40"/>
      <c r="J17" s="39"/>
      <c r="K17" s="23"/>
      <c r="L17" s="61"/>
      <c r="M17" s="62"/>
      <c r="N17" s="62"/>
      <c r="O17" s="62"/>
      <c r="P17" s="62"/>
      <c r="Q17" s="62"/>
      <c r="R17" s="62"/>
      <c r="S17" s="62"/>
      <c r="T17" s="62"/>
      <c r="U17" s="62"/>
      <c r="V17" s="62"/>
      <c r="W17" s="62"/>
      <c r="X17" s="62"/>
      <c r="Y17" s="62"/>
      <c r="Z17" s="62"/>
      <c r="AA17" s="62"/>
      <c r="AB17" s="62"/>
      <c r="AC17" s="62"/>
      <c r="AD17" s="62"/>
      <c r="AE17" s="63"/>
      <c r="AF17" s="23"/>
      <c r="AG17" s="23"/>
    </row>
    <row r="18" spans="1:33" x14ac:dyDescent="0.25">
      <c r="A18" s="32">
        <f>IF(ISTEXT($B18),COUNT($A$3:$A17)+1,)</f>
        <v>0</v>
      </c>
      <c r="B18" s="39"/>
      <c r="C18" s="39"/>
      <c r="D18" s="39"/>
      <c r="E18" s="39"/>
      <c r="F18" s="39"/>
      <c r="G18" s="39"/>
      <c r="H18" s="39"/>
      <c r="I18" s="40"/>
      <c r="J18" s="39"/>
      <c r="K18" s="23"/>
      <c r="L18" s="23"/>
      <c r="M18" s="23"/>
      <c r="N18" s="23"/>
      <c r="O18" s="23"/>
      <c r="P18" s="23"/>
      <c r="Q18" s="23"/>
      <c r="R18" s="23"/>
      <c r="S18" s="23"/>
      <c r="T18" s="23"/>
      <c r="U18" s="23"/>
      <c r="V18" s="23"/>
      <c r="W18" s="23"/>
      <c r="X18" s="23"/>
      <c r="Y18" s="23"/>
      <c r="Z18" s="23"/>
      <c r="AA18" s="23"/>
      <c r="AB18" s="23"/>
      <c r="AC18" s="23"/>
      <c r="AD18" s="23"/>
      <c r="AE18" s="23"/>
      <c r="AF18" s="23"/>
      <c r="AG18" s="23"/>
    </row>
    <row r="19" spans="1:33" x14ac:dyDescent="0.25">
      <c r="A19" s="32">
        <f>IF(ISTEXT($B19),COUNT($A$3:$A18)+1,)</f>
        <v>0</v>
      </c>
      <c r="B19" s="39"/>
      <c r="C19" s="39"/>
      <c r="D19" s="39"/>
      <c r="E19" s="39"/>
      <c r="F19" s="39"/>
      <c r="G19" s="39"/>
      <c r="H19" s="39"/>
      <c r="I19" s="40"/>
      <c r="J19" s="39"/>
      <c r="K19" s="23"/>
      <c r="L19" s="23"/>
      <c r="M19" s="23"/>
      <c r="N19" s="23"/>
      <c r="O19" s="23"/>
      <c r="P19" s="23"/>
      <c r="Q19" s="23"/>
      <c r="R19" s="23"/>
      <c r="S19" s="23"/>
      <c r="T19" s="23"/>
      <c r="U19" s="23"/>
      <c r="V19" s="23"/>
      <c r="W19" s="23"/>
      <c r="X19" s="23"/>
      <c r="Y19" s="23"/>
      <c r="Z19" s="23"/>
      <c r="AA19" s="23"/>
      <c r="AB19" s="23"/>
      <c r="AC19" s="23"/>
      <c r="AD19" s="23"/>
      <c r="AE19" s="23"/>
      <c r="AF19" s="23"/>
      <c r="AG19" s="23"/>
    </row>
    <row r="20" spans="1:33" x14ac:dyDescent="0.25">
      <c r="A20" s="32">
        <f>IF(ISTEXT($B20),COUNT($A$3:$A19)+1,)</f>
        <v>0</v>
      </c>
      <c r="B20" s="39"/>
      <c r="C20" s="39"/>
      <c r="D20" s="39"/>
      <c r="E20" s="39"/>
      <c r="F20" s="39"/>
      <c r="G20" s="39"/>
      <c r="H20" s="39"/>
      <c r="I20" s="40"/>
      <c r="J20" s="39"/>
      <c r="K20" s="23"/>
      <c r="L20" s="23"/>
      <c r="M20" s="23"/>
      <c r="N20" s="23"/>
      <c r="O20" s="23"/>
      <c r="P20" s="23"/>
      <c r="Q20" s="23"/>
      <c r="R20" s="23"/>
      <c r="S20" s="23"/>
      <c r="T20" s="23"/>
      <c r="U20" s="23"/>
      <c r="V20" s="23"/>
      <c r="W20" s="23"/>
      <c r="X20" s="23"/>
      <c r="Y20" s="23"/>
      <c r="Z20" s="23"/>
      <c r="AA20" s="23"/>
      <c r="AB20" s="23"/>
      <c r="AC20" s="23"/>
      <c r="AD20" s="23"/>
      <c r="AE20" s="23"/>
      <c r="AF20" s="23"/>
      <c r="AG20" s="23"/>
    </row>
    <row r="21" spans="1:33" x14ac:dyDescent="0.25">
      <c r="A21" s="32">
        <f>IF(ISTEXT($B21),COUNT($A$3:$A20)+1,)</f>
        <v>0</v>
      </c>
      <c r="B21" s="39"/>
      <c r="C21" s="39"/>
      <c r="D21" s="39"/>
      <c r="E21" s="39"/>
      <c r="F21" s="39"/>
      <c r="G21" s="39"/>
      <c r="H21" s="39"/>
      <c r="I21" s="40"/>
      <c r="J21" s="39"/>
      <c r="K21" s="23"/>
      <c r="L21" s="23"/>
      <c r="M21" s="23"/>
      <c r="N21" s="23"/>
      <c r="O21" s="23"/>
      <c r="P21" s="23"/>
      <c r="Q21" s="23"/>
      <c r="R21" s="23"/>
      <c r="S21" s="23"/>
      <c r="T21" s="23"/>
      <c r="U21" s="23"/>
      <c r="V21" s="23"/>
      <c r="W21" s="23"/>
      <c r="X21" s="23"/>
      <c r="Y21" s="23"/>
      <c r="Z21" s="23"/>
      <c r="AA21" s="23"/>
      <c r="AB21" s="23"/>
      <c r="AC21" s="23"/>
      <c r="AD21" s="23"/>
      <c r="AE21" s="23"/>
      <c r="AF21" s="23"/>
      <c r="AG21" s="23"/>
    </row>
    <row r="22" spans="1:33" x14ac:dyDescent="0.25">
      <c r="A22" s="32">
        <f>IF(ISTEXT($B22),COUNT($A$3:$A21)+1,)</f>
        <v>0</v>
      </c>
      <c r="B22" s="39"/>
      <c r="C22" s="39"/>
      <c r="D22" s="39"/>
      <c r="E22" s="39"/>
      <c r="F22" s="39"/>
      <c r="G22" s="39"/>
      <c r="H22" s="39"/>
      <c r="I22" s="40"/>
      <c r="J22" s="39"/>
      <c r="K22" s="23"/>
      <c r="L22" s="23"/>
      <c r="M22" s="23"/>
      <c r="N22" s="23"/>
      <c r="O22" s="23"/>
      <c r="P22" s="23"/>
      <c r="Q22" s="23"/>
      <c r="R22" s="23"/>
      <c r="S22" s="23"/>
      <c r="T22" s="23"/>
      <c r="U22" s="23"/>
      <c r="V22" s="23"/>
      <c r="W22" s="23"/>
      <c r="X22" s="23"/>
      <c r="Y22" s="23"/>
      <c r="Z22" s="23"/>
      <c r="AA22" s="23"/>
      <c r="AB22" s="23"/>
      <c r="AC22" s="23"/>
      <c r="AD22" s="23"/>
      <c r="AE22" s="23"/>
      <c r="AF22" s="23"/>
      <c r="AG22" s="23"/>
    </row>
    <row r="23" spans="1:33" x14ac:dyDescent="0.25">
      <c r="A23" s="32">
        <f>IF(ISTEXT($B23),COUNT($A$3:$A22)+1,)</f>
        <v>0</v>
      </c>
      <c r="B23" s="39"/>
      <c r="C23" s="39"/>
      <c r="D23" s="39"/>
      <c r="E23" s="39"/>
      <c r="F23" s="39"/>
      <c r="G23" s="39"/>
      <c r="H23" s="39"/>
      <c r="I23" s="40"/>
      <c r="J23" s="39"/>
      <c r="K23" s="23"/>
      <c r="L23" s="23"/>
      <c r="M23" s="23"/>
      <c r="N23" s="23"/>
      <c r="O23" s="23"/>
      <c r="P23" s="23"/>
      <c r="Q23" s="23"/>
      <c r="R23" s="23"/>
      <c r="S23" s="23"/>
      <c r="T23" s="23"/>
      <c r="U23" s="23"/>
      <c r="V23" s="23"/>
      <c r="W23" s="23"/>
      <c r="X23" s="23"/>
      <c r="Y23" s="23"/>
      <c r="Z23" s="23"/>
      <c r="AA23" s="23"/>
      <c r="AB23" s="23"/>
      <c r="AC23" s="23"/>
      <c r="AD23" s="23"/>
      <c r="AE23" s="23"/>
      <c r="AF23" s="23"/>
      <c r="AG23" s="23"/>
    </row>
    <row r="24" spans="1:33" x14ac:dyDescent="0.25">
      <c r="A24" s="32">
        <f>IF(ISTEXT($B24),COUNT($A$3:$A23)+1,)</f>
        <v>0</v>
      </c>
      <c r="B24" s="39"/>
      <c r="C24" s="39"/>
      <c r="D24" s="39"/>
      <c r="E24" s="39"/>
      <c r="F24" s="39"/>
      <c r="G24" s="39"/>
      <c r="H24" s="39"/>
      <c r="I24" s="40"/>
      <c r="J24" s="39"/>
      <c r="K24" s="23"/>
      <c r="L24" s="23"/>
      <c r="M24" s="23"/>
      <c r="N24" s="23"/>
      <c r="O24" s="23"/>
      <c r="P24" s="23"/>
      <c r="Q24" s="23"/>
      <c r="R24" s="23"/>
      <c r="S24" s="23"/>
      <c r="T24" s="23"/>
      <c r="U24" s="23"/>
      <c r="V24" s="23"/>
      <c r="W24" s="23"/>
      <c r="X24" s="23"/>
      <c r="Y24" s="23"/>
      <c r="Z24" s="23"/>
      <c r="AA24" s="23"/>
      <c r="AB24" s="23"/>
      <c r="AC24" s="23"/>
      <c r="AD24" s="23"/>
      <c r="AE24" s="23"/>
      <c r="AF24" s="23"/>
      <c r="AG24" s="23"/>
    </row>
    <row r="25" spans="1:33" x14ac:dyDescent="0.25">
      <c r="A25" s="32">
        <f>IF(ISTEXT($B25),COUNT($A$3:$A24)+1,)</f>
        <v>0</v>
      </c>
      <c r="B25" s="39"/>
      <c r="C25" s="39"/>
      <c r="D25" s="39"/>
      <c r="E25" s="39"/>
      <c r="F25" s="39"/>
      <c r="G25" s="39"/>
      <c r="H25" s="39"/>
      <c r="I25" s="40"/>
      <c r="J25" s="39"/>
      <c r="K25" s="23"/>
      <c r="L25" s="23"/>
      <c r="M25" s="23"/>
      <c r="N25" s="23"/>
      <c r="O25" s="23"/>
      <c r="P25" s="23"/>
      <c r="Q25" s="23"/>
      <c r="R25" s="23"/>
      <c r="S25" s="23"/>
      <c r="T25" s="23"/>
      <c r="U25" s="23"/>
      <c r="V25" s="23"/>
      <c r="W25" s="23"/>
      <c r="X25" s="23"/>
      <c r="Y25" s="23"/>
      <c r="Z25" s="23"/>
      <c r="AA25" s="23"/>
      <c r="AB25" s="23"/>
      <c r="AC25" s="23"/>
      <c r="AD25" s="23"/>
      <c r="AE25" s="23"/>
      <c r="AF25" s="23"/>
      <c r="AG25" s="23"/>
    </row>
    <row r="26" spans="1:33" x14ac:dyDescent="0.25">
      <c r="A26" s="32">
        <f>IF(ISTEXT($B26),COUNT($A$3:$A25)+1,)</f>
        <v>0</v>
      </c>
      <c r="B26" s="39"/>
      <c r="C26" s="39"/>
      <c r="D26" s="39"/>
      <c r="E26" s="39"/>
      <c r="F26" s="39"/>
      <c r="G26" s="39"/>
      <c r="H26" s="39"/>
      <c r="I26" s="40"/>
      <c r="J26" s="39"/>
      <c r="K26" s="23"/>
      <c r="L26" s="23"/>
      <c r="M26" s="23"/>
      <c r="N26" s="23"/>
      <c r="O26" s="23"/>
      <c r="P26" s="23"/>
      <c r="Q26" s="23"/>
      <c r="R26" s="23"/>
      <c r="S26" s="23"/>
      <c r="T26" s="23"/>
      <c r="U26" s="23"/>
      <c r="V26" s="23"/>
      <c r="W26" s="23"/>
      <c r="X26" s="23"/>
      <c r="Y26" s="23"/>
      <c r="Z26" s="23"/>
      <c r="AA26" s="23"/>
      <c r="AB26" s="23"/>
      <c r="AC26" s="23"/>
      <c r="AD26" s="23"/>
      <c r="AE26" s="23"/>
      <c r="AF26" s="23"/>
      <c r="AG26" s="23"/>
    </row>
    <row r="27" spans="1:33" x14ac:dyDescent="0.25">
      <c r="A27" s="32">
        <f>IF(ISTEXT($B27),COUNT($A$3:$A26)+1,)</f>
        <v>0</v>
      </c>
      <c r="B27" s="39"/>
      <c r="C27" s="39"/>
      <c r="D27" s="39"/>
      <c r="E27" s="39"/>
      <c r="F27" s="39"/>
      <c r="G27" s="39"/>
      <c r="H27" s="39"/>
      <c r="I27" s="40"/>
      <c r="J27" s="39"/>
      <c r="K27" s="23"/>
      <c r="L27" s="23"/>
      <c r="M27" s="23"/>
      <c r="N27" s="23"/>
      <c r="O27" s="23"/>
      <c r="P27" s="23"/>
      <c r="Q27" s="23"/>
      <c r="R27" s="23"/>
      <c r="S27" s="23"/>
      <c r="T27" s="23"/>
      <c r="U27" s="23"/>
      <c r="V27" s="23"/>
      <c r="W27" s="23"/>
      <c r="X27" s="23"/>
      <c r="Y27" s="23"/>
      <c r="Z27" s="23"/>
      <c r="AA27" s="23"/>
      <c r="AB27" s="23"/>
      <c r="AC27" s="23"/>
      <c r="AD27" s="23"/>
      <c r="AE27" s="23"/>
      <c r="AF27" s="23"/>
      <c r="AG27" s="23"/>
    </row>
    <row r="28" spans="1:33" x14ac:dyDescent="0.25">
      <c r="A28" s="32">
        <f>IF(ISTEXT($B28),COUNT($A$3:$A27)+1,)</f>
        <v>0</v>
      </c>
      <c r="B28" s="39"/>
      <c r="C28" s="39"/>
      <c r="D28" s="39"/>
      <c r="E28" s="39"/>
      <c r="F28" s="39"/>
      <c r="G28" s="39"/>
      <c r="H28" s="39"/>
      <c r="I28" s="40"/>
      <c r="J28" s="39"/>
      <c r="K28" s="23"/>
      <c r="L28" s="23"/>
      <c r="M28" s="23"/>
      <c r="N28" s="23"/>
      <c r="O28" s="23"/>
      <c r="P28" s="23"/>
      <c r="Q28" s="23"/>
      <c r="R28" s="23"/>
      <c r="S28" s="23"/>
      <c r="T28" s="23"/>
      <c r="U28" s="23"/>
      <c r="V28" s="23"/>
      <c r="W28" s="23"/>
      <c r="X28" s="23"/>
      <c r="Y28" s="23"/>
      <c r="Z28" s="23"/>
      <c r="AA28" s="23"/>
      <c r="AB28" s="23"/>
      <c r="AC28" s="23"/>
      <c r="AD28" s="23"/>
      <c r="AE28" s="23"/>
      <c r="AF28" s="23"/>
      <c r="AG28" s="23"/>
    </row>
    <row r="29" spans="1:33" x14ac:dyDescent="0.25">
      <c r="A29" s="32">
        <f>IF(ISTEXT($B29),COUNT($A$3:$A28)+1,)</f>
        <v>0</v>
      </c>
      <c r="B29" s="39"/>
      <c r="C29" s="39"/>
      <c r="D29" s="39"/>
      <c r="E29" s="39"/>
      <c r="F29" s="39"/>
      <c r="G29" s="39"/>
      <c r="H29" s="39"/>
      <c r="I29" s="40"/>
      <c r="J29" s="39"/>
      <c r="K29" s="23"/>
      <c r="L29" s="23"/>
      <c r="M29" s="23"/>
      <c r="N29" s="23"/>
      <c r="O29" s="23"/>
      <c r="P29" s="23"/>
      <c r="Q29" s="23"/>
      <c r="R29" s="23"/>
      <c r="S29" s="23"/>
      <c r="T29" s="23"/>
      <c r="U29" s="23"/>
      <c r="V29" s="23"/>
      <c r="W29" s="23"/>
      <c r="X29" s="23"/>
      <c r="Y29" s="23"/>
      <c r="Z29" s="23"/>
      <c r="AA29" s="23"/>
      <c r="AB29" s="23"/>
      <c r="AC29" s="23"/>
      <c r="AD29" s="23"/>
      <c r="AE29" s="23"/>
      <c r="AF29" s="23"/>
      <c r="AG29" s="23"/>
    </row>
    <row r="30" spans="1:33" x14ac:dyDescent="0.25">
      <c r="A30" s="32">
        <f>IF(ISTEXT($B30),COUNT($A$3:$A29)+1,)</f>
        <v>0</v>
      </c>
      <c r="B30" s="39"/>
      <c r="C30" s="39"/>
      <c r="D30" s="39"/>
      <c r="E30" s="39"/>
      <c r="F30" s="39"/>
      <c r="G30" s="39"/>
      <c r="H30" s="39"/>
      <c r="I30" s="40"/>
      <c r="J30" s="39"/>
      <c r="K30" s="23"/>
      <c r="L30" s="23"/>
      <c r="M30" s="23"/>
      <c r="N30" s="23"/>
      <c r="O30" s="23"/>
      <c r="P30" s="23"/>
      <c r="Q30" s="23"/>
      <c r="R30" s="23"/>
      <c r="S30" s="23"/>
      <c r="T30" s="23"/>
      <c r="U30" s="23"/>
      <c r="V30" s="23"/>
      <c r="W30" s="23"/>
      <c r="X30" s="23"/>
      <c r="Y30" s="23"/>
      <c r="Z30" s="23"/>
      <c r="AA30" s="23"/>
      <c r="AB30" s="23"/>
      <c r="AC30" s="23"/>
      <c r="AD30" s="23"/>
      <c r="AE30" s="23"/>
      <c r="AF30" s="23"/>
      <c r="AG30" s="23"/>
    </row>
    <row r="31" spans="1:33" x14ac:dyDescent="0.25">
      <c r="A31" s="32">
        <f>IF(ISTEXT($B31),COUNT($A$3:$A30)+1,)</f>
        <v>0</v>
      </c>
      <c r="B31" s="39"/>
      <c r="C31" s="39"/>
      <c r="D31" s="39"/>
      <c r="E31" s="39"/>
      <c r="F31" s="39"/>
      <c r="G31" s="39"/>
      <c r="H31" s="39"/>
      <c r="I31" s="40"/>
      <c r="J31" s="39"/>
      <c r="K31" s="23"/>
      <c r="L31" s="23"/>
      <c r="M31" s="23"/>
      <c r="N31" s="23"/>
      <c r="O31" s="23"/>
      <c r="P31" s="23"/>
      <c r="Q31" s="23"/>
      <c r="R31" s="23"/>
      <c r="S31" s="23"/>
      <c r="T31" s="23"/>
      <c r="U31" s="23"/>
      <c r="V31" s="23"/>
      <c r="W31" s="23"/>
      <c r="X31" s="23"/>
      <c r="Y31" s="23"/>
      <c r="Z31" s="23"/>
      <c r="AA31" s="23"/>
      <c r="AB31" s="23"/>
      <c r="AC31" s="23"/>
      <c r="AD31" s="23"/>
      <c r="AE31" s="23"/>
      <c r="AF31" s="23"/>
      <c r="AG31" s="23"/>
    </row>
    <row r="32" spans="1:33" x14ac:dyDescent="0.25">
      <c r="A32" s="32">
        <f>IF(ISTEXT($B32),COUNT($A$3:$A31)+1,)</f>
        <v>0</v>
      </c>
      <c r="B32" s="39"/>
      <c r="C32" s="39"/>
      <c r="D32" s="39"/>
      <c r="E32" s="39"/>
      <c r="F32" s="39"/>
      <c r="G32" s="39"/>
      <c r="H32" s="39"/>
      <c r="I32" s="40"/>
      <c r="J32" s="39"/>
      <c r="K32" s="23"/>
      <c r="L32" s="23"/>
      <c r="M32" s="23"/>
      <c r="N32" s="23"/>
      <c r="O32" s="23"/>
      <c r="P32" s="23"/>
      <c r="Q32" s="23"/>
      <c r="R32" s="23"/>
      <c r="S32" s="23"/>
      <c r="T32" s="23"/>
      <c r="U32" s="23"/>
      <c r="V32" s="23"/>
      <c r="W32" s="23"/>
      <c r="X32" s="23"/>
      <c r="Y32" s="23"/>
      <c r="Z32" s="23"/>
      <c r="AA32" s="23"/>
      <c r="AB32" s="23"/>
      <c r="AC32" s="23"/>
      <c r="AD32" s="23"/>
      <c r="AE32" s="23"/>
      <c r="AF32" s="23"/>
      <c r="AG32" s="23"/>
    </row>
  </sheetData>
  <mergeCells count="2">
    <mergeCell ref="L4:AE4"/>
    <mergeCell ref="L16:AE16"/>
  </mergeCells>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AG29"/>
  <sheetViews>
    <sheetView showGridLines="0" workbookViewId="0">
      <selection activeCell="Q1" sqref="Q1"/>
    </sheetView>
  </sheetViews>
  <sheetFormatPr defaultRowHeight="15.75" x14ac:dyDescent="0.25"/>
  <cols>
    <col min="1" max="1" width="7.875" bestFit="1" customWidth="1"/>
    <col min="2" max="3" width="10" bestFit="1" customWidth="1"/>
    <col min="4" max="4" width="19" bestFit="1" customWidth="1"/>
    <col min="5" max="5" width="8.375" bestFit="1" customWidth="1"/>
    <col min="6" max="6" width="5.375" bestFit="1" customWidth="1"/>
    <col min="7" max="7" width="5.875" bestFit="1" customWidth="1"/>
    <col min="8" max="8" width="11.875" bestFit="1" customWidth="1"/>
    <col min="9" max="9" width="11.875" customWidth="1"/>
    <col min="10" max="10" width="12.125" bestFit="1" customWidth="1"/>
    <col min="11" max="11" width="3.75" customWidth="1"/>
    <col min="12" max="31" width="3.625" customWidth="1"/>
    <col min="32" max="32" width="3" customWidth="1"/>
  </cols>
  <sheetData>
    <row r="1" spans="1:33" x14ac:dyDescent="0.25">
      <c r="A1" s="16"/>
      <c r="B1" s="16"/>
      <c r="C1" s="16"/>
      <c r="D1" s="16"/>
      <c r="E1" s="16"/>
      <c r="F1" s="16"/>
      <c r="G1" s="16"/>
      <c r="H1" s="16"/>
      <c r="I1" s="16"/>
      <c r="J1" s="16"/>
      <c r="K1" s="16"/>
      <c r="L1" s="16"/>
      <c r="M1" s="16"/>
      <c r="N1" s="16"/>
      <c r="O1" s="16"/>
      <c r="P1" s="16"/>
      <c r="Q1" s="16"/>
      <c r="R1" s="16"/>
      <c r="S1" s="17">
        <f t="shared" ref="S1:AB1" si="0">VLOOKUP(MAX($A$3:$A$147),$A$3:$H$147,2)</f>
        <v>0</v>
      </c>
      <c r="T1" s="17">
        <f t="shared" si="0"/>
        <v>0</v>
      </c>
      <c r="U1" s="17">
        <f t="shared" si="0"/>
        <v>0</v>
      </c>
      <c r="V1" s="17">
        <f t="shared" si="0"/>
        <v>0</v>
      </c>
      <c r="W1" s="17">
        <f t="shared" si="0"/>
        <v>0</v>
      </c>
      <c r="X1" s="17">
        <f t="shared" si="0"/>
        <v>0</v>
      </c>
      <c r="Y1" s="17">
        <f t="shared" si="0"/>
        <v>0</v>
      </c>
      <c r="Z1" s="17">
        <f t="shared" si="0"/>
        <v>0</v>
      </c>
      <c r="AA1" s="17">
        <f t="shared" si="0"/>
        <v>0</v>
      </c>
      <c r="AB1" s="17">
        <f t="shared" si="0"/>
        <v>0</v>
      </c>
      <c r="AC1" s="18"/>
      <c r="AD1" s="18"/>
      <c r="AE1" s="18"/>
      <c r="AF1" s="18"/>
      <c r="AG1" s="18"/>
    </row>
    <row r="2" spans="1:33" ht="16.5" thickBot="1" x14ac:dyDescent="0.3">
      <c r="A2" s="180" t="s">
        <v>214</v>
      </c>
      <c r="B2" s="20"/>
      <c r="C2" s="20">
        <f>MAX(A4:A105)+3</f>
        <v>10</v>
      </c>
      <c r="D2" s="20"/>
      <c r="E2" s="20"/>
      <c r="F2" s="20"/>
      <c r="G2" s="20"/>
      <c r="H2" s="20"/>
      <c r="I2" s="22"/>
      <c r="J2" s="20"/>
      <c r="K2" s="23"/>
      <c r="L2" s="23"/>
      <c r="M2" s="23"/>
      <c r="N2" s="23"/>
      <c r="O2" s="23"/>
      <c r="P2" s="23"/>
      <c r="Q2" s="23"/>
      <c r="R2" s="23"/>
      <c r="S2" s="23"/>
      <c r="T2" s="23"/>
      <c r="U2" s="23"/>
      <c r="V2" s="23"/>
      <c r="W2" s="23"/>
      <c r="X2" s="23"/>
      <c r="Y2" s="23"/>
      <c r="Z2" s="23"/>
      <c r="AA2" s="23"/>
      <c r="AB2" s="23"/>
      <c r="AC2" s="23"/>
      <c r="AD2" s="23"/>
      <c r="AE2" s="23"/>
      <c r="AF2" s="23"/>
      <c r="AG2" s="23"/>
    </row>
    <row r="3" spans="1:33" x14ac:dyDescent="0.25">
      <c r="A3" s="68" t="s">
        <v>38</v>
      </c>
      <c r="B3" s="69" t="s">
        <v>39</v>
      </c>
      <c r="C3" s="69" t="s">
        <v>40</v>
      </c>
      <c r="D3" s="69" t="s">
        <v>41</v>
      </c>
      <c r="E3" s="68" t="s">
        <v>42</v>
      </c>
      <c r="F3" s="68" t="s">
        <v>43</v>
      </c>
      <c r="G3" s="68" t="s">
        <v>44</v>
      </c>
      <c r="H3" s="68" t="s">
        <v>45</v>
      </c>
      <c r="I3" s="68" t="s">
        <v>46</v>
      </c>
      <c r="J3" s="68" t="s">
        <v>47</v>
      </c>
      <c r="K3" s="23"/>
      <c r="L3" s="29"/>
      <c r="M3" s="30"/>
      <c r="N3" s="30"/>
      <c r="O3" s="30"/>
      <c r="P3" s="30"/>
      <c r="Q3" s="30"/>
      <c r="R3" s="30"/>
      <c r="S3" s="30"/>
      <c r="T3" s="30"/>
      <c r="U3" s="30"/>
      <c r="V3" s="30"/>
      <c r="W3" s="30"/>
      <c r="X3" s="30"/>
      <c r="Y3" s="30"/>
      <c r="Z3" s="30"/>
      <c r="AA3" s="30"/>
      <c r="AB3" s="30"/>
      <c r="AC3" s="30"/>
      <c r="AD3" s="30"/>
      <c r="AE3" s="31"/>
      <c r="AF3" s="23"/>
      <c r="AG3" s="23"/>
    </row>
    <row r="4" spans="1:33" x14ac:dyDescent="0.25">
      <c r="A4" s="32">
        <f>IF(ISTEXT(B4),1,)</f>
        <v>1</v>
      </c>
      <c r="B4" s="33" t="s">
        <v>48</v>
      </c>
      <c r="C4" s="34" t="s">
        <v>49</v>
      </c>
      <c r="D4" s="34" t="s">
        <v>50</v>
      </c>
      <c r="E4" s="34" t="s">
        <v>51</v>
      </c>
      <c r="F4" s="35" t="s">
        <v>52</v>
      </c>
      <c r="G4" s="35">
        <v>30062</v>
      </c>
      <c r="H4" s="33" t="s">
        <v>53</v>
      </c>
      <c r="I4" s="37" t="s">
        <v>54</v>
      </c>
      <c r="J4" s="70">
        <v>157665</v>
      </c>
      <c r="K4" s="23"/>
      <c r="L4" s="300" t="s">
        <v>55</v>
      </c>
      <c r="M4" s="301"/>
      <c r="N4" s="301"/>
      <c r="O4" s="301"/>
      <c r="P4" s="301"/>
      <c r="Q4" s="301"/>
      <c r="R4" s="301"/>
      <c r="S4" s="301"/>
      <c r="T4" s="301"/>
      <c r="U4" s="301"/>
      <c r="V4" s="301"/>
      <c r="W4" s="301"/>
      <c r="X4" s="301"/>
      <c r="Y4" s="301"/>
      <c r="Z4" s="301"/>
      <c r="AA4" s="301"/>
      <c r="AB4" s="301"/>
      <c r="AC4" s="301"/>
      <c r="AD4" s="301"/>
      <c r="AE4" s="302"/>
      <c r="AF4" s="23"/>
      <c r="AG4" s="23"/>
    </row>
    <row r="5" spans="1:33" x14ac:dyDescent="0.25">
      <c r="A5" s="32">
        <f>IF(ISTEXT($B5),COUNT($A$3:$A4)+1,)</f>
        <v>2</v>
      </c>
      <c r="B5" s="39" t="s">
        <v>56</v>
      </c>
      <c r="C5" s="39" t="s">
        <v>57</v>
      </c>
      <c r="D5" s="39" t="s">
        <v>58</v>
      </c>
      <c r="E5" s="39" t="s">
        <v>51</v>
      </c>
      <c r="F5" s="40" t="s">
        <v>52</v>
      </c>
      <c r="G5" s="40">
        <v>30063</v>
      </c>
      <c r="H5" s="42" t="s">
        <v>59</v>
      </c>
      <c r="I5" s="43" t="s">
        <v>60</v>
      </c>
      <c r="J5" s="71">
        <v>156340</v>
      </c>
      <c r="K5" s="23"/>
      <c r="L5" s="45"/>
      <c r="M5" s="46"/>
      <c r="N5" s="46"/>
      <c r="O5" s="46"/>
      <c r="P5" s="46"/>
      <c r="Q5" s="46"/>
      <c r="R5" s="46"/>
      <c r="S5" s="46"/>
      <c r="T5" s="46"/>
      <c r="U5" s="46"/>
      <c r="V5" s="46"/>
      <c r="W5" s="46"/>
      <c r="X5" s="46"/>
      <c r="Y5" s="46"/>
      <c r="Z5" s="46"/>
      <c r="AA5" s="46"/>
      <c r="AB5" s="46"/>
      <c r="AC5" s="46"/>
      <c r="AD5" s="46"/>
      <c r="AE5" s="47"/>
      <c r="AF5" s="23"/>
      <c r="AG5" s="23"/>
    </row>
    <row r="6" spans="1:33" x14ac:dyDescent="0.25">
      <c r="A6" s="32">
        <f>IF(ISTEXT($B6),COUNT($A$3:$A5)+1,)</f>
        <v>3</v>
      </c>
      <c r="B6" s="39" t="s">
        <v>61</v>
      </c>
      <c r="C6" s="42" t="s">
        <v>62</v>
      </c>
      <c r="D6" s="39" t="s">
        <v>63</v>
      </c>
      <c r="E6" s="39" t="s">
        <v>51</v>
      </c>
      <c r="F6" s="40" t="s">
        <v>52</v>
      </c>
      <c r="G6" s="40">
        <v>30064</v>
      </c>
      <c r="H6" s="42" t="s">
        <v>64</v>
      </c>
      <c r="I6" s="43" t="s">
        <v>65</v>
      </c>
      <c r="J6" s="71">
        <v>81480</v>
      </c>
      <c r="K6" s="23"/>
      <c r="L6" s="45"/>
      <c r="M6" s="48" t="s">
        <v>39</v>
      </c>
      <c r="N6" s="46"/>
      <c r="O6" s="46"/>
      <c r="P6" s="49" t="str">
        <f ca="1">INDIRECT("B"&amp;$C$2)</f>
        <v>Collins</v>
      </c>
      <c r="Q6" s="50"/>
      <c r="R6" s="50"/>
      <c r="S6" s="50"/>
      <c r="T6" s="50"/>
      <c r="U6" s="51"/>
      <c r="V6" s="46"/>
      <c r="W6" s="52" t="s">
        <v>42</v>
      </c>
      <c r="X6" s="46"/>
      <c r="Y6" s="49" t="str">
        <f ca="1">INDIRECT("E"&amp;$C$2)</f>
        <v>Norcross</v>
      </c>
      <c r="Z6" s="50"/>
      <c r="AA6" s="50"/>
      <c r="AB6" s="50"/>
      <c r="AC6" s="50"/>
      <c r="AD6" s="51"/>
      <c r="AE6" s="47"/>
      <c r="AF6" s="23"/>
      <c r="AG6" s="23"/>
    </row>
    <row r="7" spans="1:33" x14ac:dyDescent="0.25">
      <c r="A7" s="32">
        <f>IF(ISTEXT($B7),COUNT($A$3:$A6)+1,)</f>
        <v>4</v>
      </c>
      <c r="B7" s="39" t="s">
        <v>66</v>
      </c>
      <c r="C7" s="42" t="s">
        <v>67</v>
      </c>
      <c r="D7" s="39" t="s">
        <v>68</v>
      </c>
      <c r="E7" s="39" t="s">
        <v>51</v>
      </c>
      <c r="F7" s="40" t="s">
        <v>52</v>
      </c>
      <c r="G7" s="40">
        <v>30065</v>
      </c>
      <c r="H7" s="42" t="s">
        <v>69</v>
      </c>
      <c r="I7" s="43" t="s">
        <v>54</v>
      </c>
      <c r="J7" s="71">
        <v>202578</v>
      </c>
      <c r="K7" s="23"/>
      <c r="L7" s="45"/>
      <c r="M7" s="46"/>
      <c r="N7" s="46"/>
      <c r="O7" s="46"/>
      <c r="P7" s="46"/>
      <c r="Q7" s="46"/>
      <c r="R7" s="46"/>
      <c r="S7" s="46"/>
      <c r="T7" s="46"/>
      <c r="U7" s="46"/>
      <c r="V7" s="46"/>
      <c r="W7" s="46"/>
      <c r="X7" s="46"/>
      <c r="Y7" s="46"/>
      <c r="Z7" s="46"/>
      <c r="AA7" s="46"/>
      <c r="AB7" s="46"/>
      <c r="AC7" s="46"/>
      <c r="AD7" s="46"/>
      <c r="AE7" s="47"/>
      <c r="AF7" s="23"/>
      <c r="AG7" s="23"/>
    </row>
    <row r="8" spans="1:33" x14ac:dyDescent="0.25">
      <c r="A8" s="32">
        <f>IF(ISTEXT($B8),COUNT($A$3:$A7)+1,)</f>
        <v>5</v>
      </c>
      <c r="B8" s="42" t="s">
        <v>70</v>
      </c>
      <c r="C8" s="39" t="s">
        <v>71</v>
      </c>
      <c r="D8" s="39" t="s">
        <v>72</v>
      </c>
      <c r="E8" s="39" t="s">
        <v>51</v>
      </c>
      <c r="F8" s="40" t="s">
        <v>52</v>
      </c>
      <c r="G8" s="40">
        <v>30066</v>
      </c>
      <c r="H8" s="42" t="s">
        <v>73</v>
      </c>
      <c r="I8" s="43" t="s">
        <v>60</v>
      </c>
      <c r="J8" s="71">
        <v>177209</v>
      </c>
      <c r="K8" s="23"/>
      <c r="L8" s="45"/>
      <c r="M8" s="48" t="s">
        <v>40</v>
      </c>
      <c r="N8" s="46"/>
      <c r="O8" s="46"/>
      <c r="P8" s="49" t="str">
        <f ca="1">INDIRECT("B"&amp;$C$2)</f>
        <v>Collins</v>
      </c>
      <c r="Q8" s="50"/>
      <c r="R8" s="50"/>
      <c r="S8" s="50"/>
      <c r="T8" s="50"/>
      <c r="U8" s="51"/>
      <c r="V8" s="46"/>
      <c r="W8" s="52" t="s">
        <v>43</v>
      </c>
      <c r="X8" s="46"/>
      <c r="Y8" s="49" t="str">
        <f ca="1">INDIRECT("F"&amp;$C$2)</f>
        <v xml:space="preserve">GA </v>
      </c>
      <c r="Z8" s="50"/>
      <c r="AA8" s="50"/>
      <c r="AB8" s="50"/>
      <c r="AC8" s="50"/>
      <c r="AD8" s="51"/>
      <c r="AE8" s="47"/>
      <c r="AF8" s="23"/>
      <c r="AG8" s="23"/>
    </row>
    <row r="9" spans="1:33" x14ac:dyDescent="0.25">
      <c r="A9" s="32">
        <f>IF(ISTEXT($B9),COUNT($A$3:$A8)+1,)</f>
        <v>6</v>
      </c>
      <c r="B9" s="39" t="s">
        <v>74</v>
      </c>
      <c r="C9" s="39" t="s">
        <v>75</v>
      </c>
      <c r="D9" s="39" t="s">
        <v>76</v>
      </c>
      <c r="E9" s="39" t="s">
        <v>77</v>
      </c>
      <c r="F9" s="40" t="s">
        <v>52</v>
      </c>
      <c r="G9" s="40">
        <v>30092</v>
      </c>
      <c r="H9" s="42" t="s">
        <v>78</v>
      </c>
      <c r="I9" s="43" t="s">
        <v>65</v>
      </c>
      <c r="J9" s="71">
        <v>212254.23</v>
      </c>
      <c r="K9" s="23"/>
      <c r="L9" s="45"/>
      <c r="M9" s="46"/>
      <c r="N9" s="46"/>
      <c r="O9" s="46"/>
      <c r="P9" s="46"/>
      <c r="Q9" s="46"/>
      <c r="R9" s="46"/>
      <c r="S9" s="46"/>
      <c r="T9" s="46"/>
      <c r="U9" s="46"/>
      <c r="V9" s="46"/>
      <c r="W9" s="46"/>
      <c r="X9" s="46"/>
      <c r="Y9" s="46"/>
      <c r="Z9" s="46"/>
      <c r="AA9" s="46"/>
      <c r="AB9" s="46"/>
      <c r="AC9" s="46"/>
      <c r="AD9" s="46"/>
      <c r="AE9" s="47"/>
      <c r="AF9" s="23"/>
      <c r="AG9" s="23"/>
    </row>
    <row r="10" spans="1:33" x14ac:dyDescent="0.25">
      <c r="A10" s="32">
        <f>IF(ISTEXT($B10),COUNT($A$3:$A9)+1,)</f>
        <v>7</v>
      </c>
      <c r="B10" s="39" t="s">
        <v>79</v>
      </c>
      <c r="C10" s="39" t="s">
        <v>80</v>
      </c>
      <c r="D10" s="39" t="s">
        <v>50</v>
      </c>
      <c r="E10" s="39" t="s">
        <v>81</v>
      </c>
      <c r="F10" s="40" t="s">
        <v>82</v>
      </c>
      <c r="G10" s="40">
        <v>30092</v>
      </c>
      <c r="H10" s="42" t="s">
        <v>53</v>
      </c>
      <c r="I10" s="43" t="s">
        <v>54</v>
      </c>
      <c r="J10" s="71">
        <v>124533.45</v>
      </c>
      <c r="K10" s="23"/>
      <c r="L10" s="45"/>
      <c r="M10" s="48" t="s">
        <v>41</v>
      </c>
      <c r="N10" s="46"/>
      <c r="O10" s="46"/>
      <c r="P10" s="49" t="str">
        <f ca="1">INDIRECT("D"&amp;$C$2)</f>
        <v>100 Peachtree Street</v>
      </c>
      <c r="Q10" s="50"/>
      <c r="R10" s="50"/>
      <c r="S10" s="50"/>
      <c r="T10" s="50"/>
      <c r="U10" s="51"/>
      <c r="V10" s="46"/>
      <c r="W10" s="52" t="s">
        <v>44</v>
      </c>
      <c r="X10" s="46"/>
      <c r="Y10" s="49" t="str">
        <f ca="1">TEXT(INDIRECT("G"&amp;$C$2),0)</f>
        <v>30092</v>
      </c>
      <c r="Z10" s="50"/>
      <c r="AA10" s="50"/>
      <c r="AB10" s="50"/>
      <c r="AC10" s="50"/>
      <c r="AD10" s="51"/>
      <c r="AE10" s="47"/>
      <c r="AF10" s="23"/>
      <c r="AG10" s="23"/>
    </row>
    <row r="11" spans="1:33" x14ac:dyDescent="0.25">
      <c r="A11" s="32">
        <f>IF(ISTEXT($B11),COUNT($A$3:$A10)+1,)</f>
        <v>0</v>
      </c>
      <c r="B11" s="39"/>
      <c r="C11" s="39"/>
      <c r="D11" s="39"/>
      <c r="E11" s="39"/>
      <c r="F11" s="39"/>
      <c r="G11" s="39"/>
      <c r="H11" s="39"/>
      <c r="I11" s="40"/>
      <c r="J11" s="39"/>
      <c r="K11" s="23"/>
      <c r="L11" s="45"/>
      <c r="M11" s="46"/>
      <c r="N11" s="46"/>
      <c r="O11" s="46"/>
      <c r="P11" s="46"/>
      <c r="Q11" s="46"/>
      <c r="R11" s="46"/>
      <c r="S11" s="46"/>
      <c r="T11" s="46"/>
      <c r="U11" s="46"/>
      <c r="V11" s="46"/>
      <c r="W11" s="46"/>
      <c r="X11" s="46"/>
      <c r="Y11" s="46"/>
      <c r="Z11" s="46"/>
      <c r="AA11" s="46"/>
      <c r="AB11" s="46"/>
      <c r="AC11" s="46"/>
      <c r="AD11" s="46"/>
      <c r="AE11" s="47"/>
      <c r="AF11" s="23"/>
      <c r="AG11" s="23"/>
    </row>
    <row r="12" spans="1:33" x14ac:dyDescent="0.25">
      <c r="A12" s="32">
        <f>IF(ISTEXT($B12),COUNT($A$3:$A11)+1,)</f>
        <v>0</v>
      </c>
      <c r="B12" s="39"/>
      <c r="C12" s="39"/>
      <c r="D12" s="39"/>
      <c r="E12" s="39"/>
      <c r="F12" s="39"/>
      <c r="G12" s="39"/>
      <c r="H12" s="39"/>
      <c r="I12" s="40"/>
      <c r="J12" s="39"/>
      <c r="K12" s="23"/>
      <c r="L12" s="45"/>
      <c r="M12" s="52" t="s">
        <v>45</v>
      </c>
      <c r="N12" s="46"/>
      <c r="O12" s="46"/>
      <c r="P12" s="49" t="str">
        <f ca="1">INDIRECT("H"&amp;$C$2)</f>
        <v>770.842.5902</v>
      </c>
      <c r="Q12" s="50"/>
      <c r="R12" s="50"/>
      <c r="S12" s="50"/>
      <c r="T12" s="50"/>
      <c r="U12" s="51"/>
      <c r="V12" s="46"/>
      <c r="W12" s="60" t="s">
        <v>99</v>
      </c>
      <c r="X12" s="46"/>
      <c r="Y12" s="49" t="str">
        <f ca="1">INDIRECT("I"&amp;$C$2)</f>
        <v>Plan A</v>
      </c>
      <c r="Z12" s="50"/>
      <c r="AA12" s="50"/>
      <c r="AB12" s="50"/>
      <c r="AC12" s="50"/>
      <c r="AD12" s="51"/>
      <c r="AE12" s="47"/>
      <c r="AF12" s="23"/>
      <c r="AG12" s="23"/>
    </row>
    <row r="13" spans="1:33" x14ac:dyDescent="0.25">
      <c r="A13" s="32">
        <f>IF(ISTEXT($B13),COUNT($A$3:$A12)+1,)</f>
        <v>0</v>
      </c>
      <c r="B13" s="39"/>
      <c r="C13" s="39"/>
      <c r="D13" s="39"/>
      <c r="E13" s="39"/>
      <c r="F13" s="39"/>
      <c r="G13" s="39"/>
      <c r="H13" s="39"/>
      <c r="I13" s="40"/>
      <c r="J13" s="39"/>
      <c r="K13" s="23"/>
      <c r="L13" s="45"/>
      <c r="M13" s="46"/>
      <c r="N13" s="46"/>
      <c r="O13" s="46"/>
      <c r="P13" s="46"/>
      <c r="Q13" s="46"/>
      <c r="R13" s="46"/>
      <c r="S13" s="46"/>
      <c r="T13" s="46"/>
      <c r="U13" s="46"/>
      <c r="V13" s="46"/>
      <c r="W13" s="46"/>
      <c r="X13" s="46"/>
      <c r="Y13" s="46"/>
      <c r="Z13" s="46"/>
      <c r="AA13" s="46"/>
      <c r="AB13" s="46"/>
      <c r="AC13" s="46"/>
      <c r="AD13" s="46"/>
      <c r="AE13" s="47"/>
      <c r="AF13" s="23"/>
      <c r="AG13" s="23"/>
    </row>
    <row r="14" spans="1:33" x14ac:dyDescent="0.25">
      <c r="A14" s="32">
        <f>IF(ISTEXT($B14),COUNT($A$3:$A13)+1,)</f>
        <v>0</v>
      </c>
      <c r="B14" s="39"/>
      <c r="C14" s="39"/>
      <c r="D14" s="39"/>
      <c r="E14" s="39"/>
      <c r="F14" s="39"/>
      <c r="G14" s="39"/>
      <c r="H14" s="39"/>
      <c r="I14" s="40"/>
      <c r="J14" s="39"/>
      <c r="K14" s="23"/>
      <c r="L14" s="45"/>
      <c r="M14" s="52" t="s">
        <v>90</v>
      </c>
      <c r="N14" s="46"/>
      <c r="O14" s="46"/>
      <c r="P14" s="46"/>
      <c r="Q14" s="46"/>
      <c r="R14" s="46"/>
      <c r="S14" s="46"/>
      <c r="T14" s="46"/>
      <c r="U14" s="46"/>
      <c r="V14" s="46"/>
      <c r="W14" s="46"/>
      <c r="X14" s="46"/>
      <c r="Y14" s="49" t="str">
        <f ca="1">TEXT(INDIRECT("J"&amp;$C$2),"$#,###.##")</f>
        <v>$124,533.45</v>
      </c>
      <c r="Z14" s="50"/>
      <c r="AA14" s="50"/>
      <c r="AB14" s="50"/>
      <c r="AC14" s="50"/>
      <c r="AD14" s="51"/>
      <c r="AE14" s="47"/>
      <c r="AF14" s="23"/>
      <c r="AG14" s="23"/>
    </row>
    <row r="15" spans="1:33" x14ac:dyDescent="0.25">
      <c r="A15" s="32">
        <f>IF(ISTEXT($B15),COUNT($A$3:$A14)+1,)</f>
        <v>0</v>
      </c>
      <c r="B15" s="39"/>
      <c r="C15" s="39"/>
      <c r="D15" s="39"/>
      <c r="E15" s="39"/>
      <c r="F15" s="39"/>
      <c r="G15" s="39"/>
      <c r="H15" s="39"/>
      <c r="I15" s="40"/>
      <c r="J15" s="39"/>
      <c r="K15" s="23"/>
      <c r="L15" s="45"/>
      <c r="M15" s="46"/>
      <c r="N15" s="46"/>
      <c r="O15" s="46"/>
      <c r="P15" s="46"/>
      <c r="Q15" s="46"/>
      <c r="R15" s="46"/>
      <c r="S15" s="46"/>
      <c r="T15" s="46"/>
      <c r="U15" s="46"/>
      <c r="V15" s="46"/>
      <c r="W15" s="46"/>
      <c r="X15" s="46"/>
      <c r="Y15" s="46"/>
      <c r="Z15" s="46"/>
      <c r="AA15" s="46"/>
      <c r="AB15" s="46"/>
      <c r="AC15" s="46"/>
      <c r="AD15" s="46"/>
      <c r="AE15" s="47"/>
      <c r="AF15" s="23"/>
      <c r="AG15" s="23"/>
    </row>
    <row r="16" spans="1:33" x14ac:dyDescent="0.25">
      <c r="A16" s="32">
        <f>IF(ISTEXT($B16),COUNT($A$3:$A15)+1,)</f>
        <v>0</v>
      </c>
      <c r="B16" s="39"/>
      <c r="C16" s="39"/>
      <c r="D16" s="39"/>
      <c r="E16" s="39"/>
      <c r="F16" s="39"/>
      <c r="G16" s="39"/>
      <c r="H16" s="39"/>
      <c r="I16" s="40"/>
      <c r="J16" s="39"/>
      <c r="K16" s="23"/>
      <c r="L16" s="303" t="s">
        <v>91</v>
      </c>
      <c r="M16" s="304"/>
      <c r="N16" s="304"/>
      <c r="O16" s="304"/>
      <c r="P16" s="304"/>
      <c r="Q16" s="304"/>
      <c r="R16" s="304"/>
      <c r="S16" s="304"/>
      <c r="T16" s="304"/>
      <c r="U16" s="304"/>
      <c r="V16" s="304"/>
      <c r="W16" s="304"/>
      <c r="X16" s="304"/>
      <c r="Y16" s="304"/>
      <c r="Z16" s="304"/>
      <c r="AA16" s="304"/>
      <c r="AB16" s="304"/>
      <c r="AC16" s="304"/>
      <c r="AD16" s="304"/>
      <c r="AE16" s="305"/>
      <c r="AF16" s="23"/>
      <c r="AG16" s="23"/>
    </row>
    <row r="17" spans="1:33" ht="16.5" thickBot="1" x14ac:dyDescent="0.3">
      <c r="A17" s="32">
        <f>IF(ISTEXT($B17),COUNT($A$3:$A16)+1,)</f>
        <v>0</v>
      </c>
      <c r="B17" s="39"/>
      <c r="C17" s="39"/>
      <c r="D17" s="39"/>
      <c r="E17" s="39"/>
      <c r="F17" s="39"/>
      <c r="G17" s="39"/>
      <c r="H17" s="39"/>
      <c r="I17" s="40"/>
      <c r="J17" s="39"/>
      <c r="K17" s="23"/>
      <c r="L17" s="61"/>
      <c r="M17" s="62"/>
      <c r="N17" s="62"/>
      <c r="O17" s="62"/>
      <c r="P17" s="62"/>
      <c r="Q17" s="62"/>
      <c r="R17" s="62"/>
      <c r="S17" s="62"/>
      <c r="T17" s="62"/>
      <c r="U17" s="62"/>
      <c r="V17" s="62"/>
      <c r="W17" s="62"/>
      <c r="X17" s="62"/>
      <c r="Y17" s="62"/>
      <c r="Z17" s="62"/>
      <c r="AA17" s="62"/>
      <c r="AB17" s="62"/>
      <c r="AC17" s="62"/>
      <c r="AD17" s="62"/>
      <c r="AE17" s="63"/>
      <c r="AF17" s="23"/>
      <c r="AG17" s="23"/>
    </row>
    <row r="18" spans="1:33" x14ac:dyDescent="0.25">
      <c r="A18" s="32">
        <f>IF(ISTEXT($B18),COUNT($A$3:$A17)+1,)</f>
        <v>0</v>
      </c>
      <c r="B18" s="39"/>
      <c r="C18" s="39"/>
      <c r="D18" s="39"/>
      <c r="E18" s="39"/>
      <c r="F18" s="39"/>
      <c r="G18" s="39"/>
      <c r="H18" s="39"/>
      <c r="I18" s="40"/>
      <c r="J18" s="39"/>
      <c r="K18" s="23"/>
      <c r="L18" s="23"/>
      <c r="M18" s="23"/>
      <c r="N18" s="23"/>
      <c r="O18" s="23"/>
      <c r="P18" s="23"/>
      <c r="Q18" s="23"/>
      <c r="R18" s="23"/>
      <c r="S18" s="23"/>
      <c r="T18" s="23"/>
      <c r="U18" s="23"/>
      <c r="V18" s="23"/>
      <c r="W18" s="23"/>
      <c r="X18" s="23"/>
      <c r="Y18" s="23"/>
      <c r="Z18" s="23"/>
      <c r="AA18" s="23"/>
      <c r="AB18" s="23"/>
      <c r="AC18" s="23"/>
      <c r="AD18" s="23"/>
      <c r="AE18" s="23"/>
      <c r="AF18" s="23"/>
      <c r="AG18" s="23"/>
    </row>
    <row r="19" spans="1:33" x14ac:dyDescent="0.25">
      <c r="A19" s="32">
        <f>IF(ISTEXT($B19),COUNT($A$3:$A18)+1,)</f>
        <v>0</v>
      </c>
      <c r="B19" s="39"/>
      <c r="C19" s="39"/>
      <c r="D19" s="39"/>
      <c r="E19" s="39"/>
      <c r="F19" s="39"/>
      <c r="G19" s="39"/>
      <c r="H19" s="39"/>
      <c r="I19" s="40"/>
      <c r="J19" s="39"/>
      <c r="K19" s="23"/>
      <c r="L19" s="23"/>
      <c r="M19" s="23"/>
      <c r="N19" s="23"/>
      <c r="O19" s="23"/>
      <c r="P19" s="23"/>
      <c r="Q19" s="23"/>
      <c r="R19" s="23"/>
      <c r="S19" s="23"/>
      <c r="T19" s="23"/>
      <c r="U19" s="23"/>
      <c r="V19" s="23"/>
      <c r="W19" s="23"/>
      <c r="X19" s="23"/>
      <c r="Y19" s="23"/>
      <c r="Z19" s="23"/>
      <c r="AA19" s="23"/>
      <c r="AB19" s="23"/>
      <c r="AC19" s="23"/>
      <c r="AD19" s="23"/>
      <c r="AE19" s="23"/>
      <c r="AF19" s="23"/>
      <c r="AG19" s="23"/>
    </row>
    <row r="20" spans="1:33" x14ac:dyDescent="0.25">
      <c r="A20" s="32">
        <f>IF(ISTEXT($B20),COUNT($A$3:$A19)+1,)</f>
        <v>0</v>
      </c>
      <c r="B20" s="39"/>
      <c r="C20" s="39"/>
      <c r="D20" s="39"/>
      <c r="E20" s="39"/>
      <c r="F20" s="39"/>
      <c r="G20" s="39"/>
      <c r="H20" s="39"/>
      <c r="I20" s="40"/>
      <c r="J20" s="39"/>
      <c r="K20" s="23"/>
      <c r="L20" s="23"/>
      <c r="M20" s="23"/>
      <c r="N20" s="23"/>
      <c r="O20" s="23"/>
      <c r="P20" s="23"/>
      <c r="Q20" s="23"/>
      <c r="R20" s="23"/>
      <c r="S20" s="23"/>
      <c r="T20" s="23"/>
      <c r="U20" s="23"/>
      <c r="V20" s="23"/>
      <c r="W20" s="23"/>
      <c r="X20" s="23"/>
      <c r="Y20" s="23"/>
      <c r="Z20" s="23"/>
      <c r="AA20" s="23"/>
      <c r="AB20" s="23"/>
      <c r="AC20" s="23"/>
      <c r="AD20" s="23"/>
      <c r="AE20" s="23"/>
      <c r="AF20" s="23"/>
      <c r="AG20" s="23"/>
    </row>
    <row r="21" spans="1:33" x14ac:dyDescent="0.25">
      <c r="A21" s="32">
        <f>IF(ISTEXT($B21),COUNT($A$3:$A20)+1,)</f>
        <v>0</v>
      </c>
      <c r="B21" s="39"/>
      <c r="C21" s="39"/>
      <c r="D21" s="39"/>
      <c r="E21" s="39"/>
      <c r="F21" s="39"/>
      <c r="G21" s="39"/>
      <c r="H21" s="39"/>
      <c r="I21" s="40"/>
      <c r="J21" s="39"/>
      <c r="K21" s="23"/>
      <c r="L21" s="23"/>
      <c r="M21" s="23"/>
      <c r="N21" s="23"/>
      <c r="O21" s="23"/>
      <c r="P21" s="23"/>
      <c r="Q21" s="23"/>
      <c r="R21" s="23"/>
      <c r="S21" s="23"/>
      <c r="T21" s="23"/>
      <c r="U21" s="23"/>
      <c r="V21" s="23"/>
      <c r="W21" s="23"/>
      <c r="X21" s="23"/>
      <c r="Y21" s="23"/>
      <c r="Z21" s="23"/>
      <c r="AA21" s="23"/>
      <c r="AB21" s="23"/>
      <c r="AC21" s="23"/>
      <c r="AD21" s="23"/>
      <c r="AE21" s="23"/>
      <c r="AF21" s="23"/>
      <c r="AG21" s="23"/>
    </row>
    <row r="22" spans="1:33" x14ac:dyDescent="0.25">
      <c r="A22" s="32">
        <f>IF(ISTEXT($B22),COUNT($A$3:$A21)+1,)</f>
        <v>0</v>
      </c>
      <c r="B22" s="39"/>
      <c r="C22" s="39"/>
      <c r="D22" s="39"/>
      <c r="E22" s="39"/>
      <c r="F22" s="39"/>
      <c r="G22" s="39"/>
      <c r="H22" s="39"/>
      <c r="I22" s="40"/>
      <c r="J22" s="39"/>
      <c r="K22" s="23"/>
      <c r="L22" s="23"/>
      <c r="M22" s="23"/>
      <c r="N22" s="23"/>
      <c r="O22" s="23"/>
      <c r="P22" s="23"/>
      <c r="Q22" s="23"/>
      <c r="R22" s="23"/>
      <c r="S22" s="23"/>
      <c r="T22" s="23"/>
      <c r="U22" s="23"/>
      <c r="V22" s="23"/>
      <c r="W22" s="23"/>
      <c r="X22" s="23"/>
      <c r="Y22" s="23"/>
      <c r="Z22" s="23"/>
      <c r="AA22" s="23"/>
      <c r="AB22" s="23"/>
      <c r="AC22" s="23"/>
      <c r="AD22" s="23"/>
      <c r="AE22" s="23"/>
      <c r="AF22" s="23"/>
      <c r="AG22" s="23"/>
    </row>
    <row r="23" spans="1:33" x14ac:dyDescent="0.25">
      <c r="A23" s="32">
        <f>IF(ISTEXT($B23),COUNT($A$3:$A22)+1,)</f>
        <v>0</v>
      </c>
      <c r="B23" s="39"/>
      <c r="C23" s="39"/>
      <c r="D23" s="39"/>
      <c r="E23" s="39"/>
      <c r="F23" s="39"/>
      <c r="G23" s="39"/>
      <c r="H23" s="39"/>
      <c r="I23" s="40"/>
      <c r="J23" s="39"/>
      <c r="K23" s="23"/>
      <c r="L23" s="23"/>
      <c r="M23" s="23"/>
      <c r="N23" s="23"/>
      <c r="O23" s="23"/>
      <c r="P23" s="23"/>
      <c r="Q23" s="23"/>
      <c r="R23" s="23"/>
      <c r="S23" s="23"/>
      <c r="T23" s="23"/>
      <c r="U23" s="23"/>
      <c r="V23" s="23"/>
      <c r="W23" s="23"/>
      <c r="X23" s="23"/>
      <c r="Y23" s="23"/>
      <c r="Z23" s="23"/>
      <c r="AA23" s="23"/>
      <c r="AB23" s="23"/>
      <c r="AC23" s="23"/>
      <c r="AD23" s="23"/>
      <c r="AE23" s="23"/>
      <c r="AF23" s="23"/>
      <c r="AG23" s="23"/>
    </row>
    <row r="24" spans="1:33" x14ac:dyDescent="0.25">
      <c r="A24" s="32">
        <f>IF(ISTEXT($B24),COUNT($A$3:$A23)+1,)</f>
        <v>0</v>
      </c>
      <c r="B24" s="39"/>
      <c r="C24" s="39"/>
      <c r="D24" s="39"/>
      <c r="E24" s="39"/>
      <c r="F24" s="39"/>
      <c r="G24" s="39"/>
      <c r="H24" s="39"/>
      <c r="I24" s="40"/>
      <c r="J24" s="39"/>
      <c r="K24" s="23"/>
      <c r="L24" s="23"/>
      <c r="M24" s="23"/>
      <c r="N24" s="23"/>
      <c r="O24" s="23"/>
      <c r="P24" s="23"/>
      <c r="Q24" s="23"/>
      <c r="R24" s="23"/>
      <c r="S24" s="23"/>
      <c r="T24" s="23"/>
      <c r="U24" s="23"/>
      <c r="V24" s="23"/>
      <c r="W24" s="23"/>
      <c r="X24" s="23"/>
      <c r="Y24" s="23"/>
      <c r="Z24" s="23"/>
      <c r="AA24" s="23"/>
      <c r="AB24" s="23"/>
      <c r="AC24" s="23"/>
      <c r="AD24" s="23"/>
      <c r="AE24" s="23"/>
      <c r="AF24" s="23"/>
      <c r="AG24" s="23"/>
    </row>
    <row r="25" spans="1:33" x14ac:dyDescent="0.25">
      <c r="A25" s="32">
        <f>IF(ISTEXT($B25),COUNT($A$3:$A24)+1,)</f>
        <v>0</v>
      </c>
      <c r="B25" s="39"/>
      <c r="C25" s="39"/>
      <c r="D25" s="39"/>
      <c r="E25" s="39"/>
      <c r="F25" s="39"/>
      <c r="G25" s="39"/>
      <c r="H25" s="39"/>
      <c r="I25" s="40"/>
      <c r="J25" s="39"/>
      <c r="K25" s="23"/>
      <c r="L25" s="23"/>
      <c r="M25" s="23"/>
      <c r="N25" s="23"/>
      <c r="O25" s="23"/>
      <c r="P25" s="23"/>
      <c r="Q25" s="23"/>
      <c r="R25" s="23"/>
      <c r="S25" s="23"/>
      <c r="T25" s="23"/>
      <c r="U25" s="23"/>
      <c r="V25" s="23"/>
      <c r="W25" s="23"/>
      <c r="X25" s="23"/>
      <c r="Y25" s="23"/>
      <c r="Z25" s="23"/>
      <c r="AA25" s="23"/>
      <c r="AB25" s="23"/>
      <c r="AC25" s="23"/>
      <c r="AD25" s="23"/>
      <c r="AE25" s="23"/>
      <c r="AF25" s="23"/>
      <c r="AG25" s="23"/>
    </row>
    <row r="26" spans="1:33" x14ac:dyDescent="0.25">
      <c r="A26" s="32">
        <f>IF(ISTEXT($B26),COUNT($A$3:$A25)+1,)</f>
        <v>0</v>
      </c>
      <c r="B26" s="39"/>
      <c r="C26" s="39"/>
      <c r="D26" s="39"/>
      <c r="E26" s="39"/>
      <c r="F26" s="39"/>
      <c r="G26" s="39"/>
      <c r="H26" s="39"/>
      <c r="I26" s="40"/>
      <c r="J26" s="39"/>
      <c r="K26" s="23"/>
      <c r="L26" s="23"/>
      <c r="M26" s="23"/>
      <c r="N26" s="23"/>
      <c r="O26" s="23"/>
      <c r="P26" s="23"/>
      <c r="Q26" s="23"/>
      <c r="R26" s="23"/>
      <c r="S26" s="23"/>
      <c r="T26" s="23"/>
      <c r="U26" s="23"/>
      <c r="V26" s="23"/>
      <c r="W26" s="23"/>
      <c r="X26" s="23"/>
      <c r="Y26" s="23"/>
      <c r="Z26" s="23"/>
      <c r="AA26" s="23"/>
      <c r="AB26" s="23"/>
      <c r="AC26" s="23"/>
      <c r="AD26" s="23"/>
      <c r="AE26" s="23"/>
      <c r="AF26" s="23"/>
      <c r="AG26" s="23"/>
    </row>
    <row r="27" spans="1:33" x14ac:dyDescent="0.25">
      <c r="A27" s="32">
        <f>IF(ISTEXT($B27),COUNT($A$3:$A26)+1,)</f>
        <v>0</v>
      </c>
      <c r="B27" s="39"/>
      <c r="C27" s="39"/>
      <c r="D27" s="39"/>
      <c r="E27" s="39"/>
      <c r="F27" s="39"/>
      <c r="G27" s="39"/>
      <c r="H27" s="39"/>
      <c r="I27" s="40"/>
      <c r="J27" s="39"/>
      <c r="K27" s="23"/>
      <c r="L27" s="23"/>
      <c r="M27" s="23"/>
      <c r="N27" s="23"/>
      <c r="O27" s="23"/>
      <c r="P27" s="23"/>
      <c r="Q27" s="23"/>
      <c r="R27" s="23"/>
      <c r="S27" s="23"/>
      <c r="T27" s="23"/>
      <c r="U27" s="23"/>
      <c r="V27" s="23"/>
      <c r="W27" s="23"/>
      <c r="X27" s="23"/>
      <c r="Y27" s="23"/>
      <c r="Z27" s="23"/>
      <c r="AA27" s="23"/>
      <c r="AB27" s="23"/>
      <c r="AC27" s="23"/>
      <c r="AD27" s="23"/>
      <c r="AE27" s="23"/>
      <c r="AF27" s="23"/>
      <c r="AG27" s="23"/>
    </row>
    <row r="28" spans="1:33" x14ac:dyDescent="0.25">
      <c r="A28" s="32">
        <f>IF(ISTEXT($B28),COUNT($A$3:$A27)+1,)</f>
        <v>0</v>
      </c>
      <c r="B28" s="39"/>
      <c r="C28" s="39"/>
      <c r="D28" s="39"/>
      <c r="E28" s="39"/>
      <c r="F28" s="39"/>
      <c r="G28" s="39"/>
      <c r="H28" s="39"/>
      <c r="I28" s="40"/>
      <c r="J28" s="39"/>
      <c r="K28" s="23"/>
      <c r="L28" s="23"/>
      <c r="M28" s="23"/>
      <c r="N28" s="23"/>
      <c r="O28" s="23"/>
      <c r="P28" s="23"/>
      <c r="Q28" s="23"/>
      <c r="R28" s="23"/>
      <c r="S28" s="23"/>
      <c r="T28" s="23"/>
      <c r="U28" s="23"/>
      <c r="V28" s="23"/>
      <c r="W28" s="23"/>
      <c r="X28" s="23"/>
      <c r="Y28" s="23"/>
      <c r="Z28" s="23"/>
      <c r="AA28" s="23"/>
      <c r="AB28" s="23"/>
      <c r="AC28" s="23"/>
      <c r="AD28" s="23"/>
      <c r="AE28" s="23"/>
      <c r="AF28" s="23"/>
      <c r="AG28" s="23"/>
    </row>
    <row r="29" spans="1:33" x14ac:dyDescent="0.25">
      <c r="A29" s="32">
        <f>IF(ISTEXT($B29),COUNT($A$3:$A28)+1,)</f>
        <v>0</v>
      </c>
      <c r="B29" s="39"/>
      <c r="C29" s="39"/>
      <c r="D29" s="39"/>
      <c r="E29" s="39"/>
      <c r="F29" s="39"/>
      <c r="G29" s="39"/>
      <c r="H29" s="39"/>
      <c r="I29" s="40"/>
      <c r="J29" s="39"/>
      <c r="K29" s="23"/>
      <c r="L29" s="23"/>
      <c r="M29" s="23"/>
      <c r="N29" s="23"/>
      <c r="O29" s="23"/>
      <c r="P29" s="23"/>
      <c r="Q29" s="23"/>
      <c r="R29" s="23"/>
      <c r="S29" s="23"/>
      <c r="T29" s="23"/>
      <c r="U29" s="23"/>
      <c r="V29" s="23"/>
      <c r="W29" s="23"/>
      <c r="X29" s="23"/>
      <c r="Y29" s="23"/>
      <c r="Z29" s="23"/>
      <c r="AA29" s="23"/>
      <c r="AB29" s="23"/>
      <c r="AC29" s="23"/>
      <c r="AD29" s="23"/>
      <c r="AE29" s="23"/>
      <c r="AF29" s="23"/>
      <c r="AG29" s="23"/>
    </row>
  </sheetData>
  <mergeCells count="2">
    <mergeCell ref="L4:AE4"/>
    <mergeCell ref="L16:AE16"/>
  </mergeCells>
  <pageMargins left="0.7" right="0.7" top="0.75" bottom="0.75" header="0.3" footer="0.3"/>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AG29"/>
  <sheetViews>
    <sheetView showGridLines="0" workbookViewId="0">
      <selection activeCell="Q1" sqref="Q1"/>
    </sheetView>
  </sheetViews>
  <sheetFormatPr defaultRowHeight="15.75" x14ac:dyDescent="0.25"/>
  <cols>
    <col min="1" max="1" width="7.875" bestFit="1" customWidth="1"/>
    <col min="2" max="3" width="10" bestFit="1" customWidth="1"/>
    <col min="4" max="4" width="19" bestFit="1" customWidth="1"/>
    <col min="5" max="5" width="8.375" bestFit="1" customWidth="1"/>
    <col min="6" max="6" width="5.375" bestFit="1" customWidth="1"/>
    <col min="7" max="7" width="5.875" bestFit="1" customWidth="1"/>
    <col min="8" max="8" width="11.875" bestFit="1" customWidth="1"/>
    <col min="9" max="9" width="11.875" customWidth="1"/>
    <col min="10" max="10" width="12.125" bestFit="1" customWidth="1"/>
    <col min="11" max="11" width="3.75" customWidth="1"/>
    <col min="12" max="31" width="3.625" customWidth="1"/>
    <col min="32" max="32" width="3" customWidth="1"/>
  </cols>
  <sheetData>
    <row r="1" spans="1:33" x14ac:dyDescent="0.25">
      <c r="A1" s="16"/>
      <c r="B1" s="16"/>
      <c r="C1" s="16"/>
      <c r="D1" s="16"/>
      <c r="E1" s="16"/>
      <c r="F1" s="16"/>
      <c r="G1" s="16"/>
      <c r="H1" s="16"/>
      <c r="I1" s="16"/>
      <c r="J1" s="16"/>
      <c r="K1" s="16"/>
      <c r="L1" s="16"/>
      <c r="M1" s="16"/>
      <c r="N1" s="16"/>
      <c r="O1" s="16"/>
      <c r="P1" s="16"/>
      <c r="Q1" s="16"/>
      <c r="R1" s="16"/>
      <c r="S1" s="17">
        <f t="shared" ref="S1:AB1" si="0">VLOOKUP(MAX($A$3:$A$147),$A$3:$H$147,2)</f>
        <v>0</v>
      </c>
      <c r="T1" s="17">
        <f t="shared" si="0"/>
        <v>0</v>
      </c>
      <c r="U1" s="17">
        <f t="shared" si="0"/>
        <v>0</v>
      </c>
      <c r="V1" s="17">
        <f t="shared" si="0"/>
        <v>0</v>
      </c>
      <c r="W1" s="17">
        <f t="shared" si="0"/>
        <v>0</v>
      </c>
      <c r="X1" s="17">
        <f t="shared" si="0"/>
        <v>0</v>
      </c>
      <c r="Y1" s="17">
        <f t="shared" si="0"/>
        <v>0</v>
      </c>
      <c r="Z1" s="17">
        <f t="shared" si="0"/>
        <v>0</v>
      </c>
      <c r="AA1" s="17">
        <f t="shared" si="0"/>
        <v>0</v>
      </c>
      <c r="AB1" s="17">
        <f t="shared" si="0"/>
        <v>0</v>
      </c>
      <c r="AC1" s="18"/>
      <c r="AD1" s="18"/>
      <c r="AE1" s="18"/>
      <c r="AF1" s="18"/>
      <c r="AG1" s="18"/>
    </row>
    <row r="2" spans="1:33" ht="16.5" thickBot="1" x14ac:dyDescent="0.3">
      <c r="A2" s="73"/>
      <c r="B2" s="20"/>
      <c r="C2" s="20"/>
      <c r="D2" s="20"/>
      <c r="E2" s="20"/>
      <c r="F2" s="20"/>
      <c r="G2" s="20"/>
      <c r="H2" s="20"/>
      <c r="I2" s="22"/>
      <c r="J2" s="20"/>
      <c r="K2" s="23"/>
      <c r="L2" s="23"/>
      <c r="M2" s="23"/>
      <c r="N2" s="23"/>
      <c r="O2" s="23"/>
      <c r="P2" s="23"/>
      <c r="Q2" s="23"/>
      <c r="R2" s="23"/>
      <c r="S2" s="23"/>
      <c r="T2" s="23"/>
      <c r="U2" s="23"/>
      <c r="V2" s="23"/>
      <c r="W2" s="23"/>
      <c r="X2" s="23"/>
      <c r="Y2" s="23"/>
      <c r="Z2" s="23"/>
      <c r="AA2" s="23"/>
      <c r="AB2" s="23"/>
      <c r="AC2" s="23"/>
      <c r="AD2" s="23"/>
      <c r="AE2" s="23"/>
      <c r="AF2" s="23"/>
      <c r="AG2" s="23"/>
    </row>
    <row r="3" spans="1:33" x14ac:dyDescent="0.25">
      <c r="A3" s="68" t="s">
        <v>38</v>
      </c>
      <c r="B3" s="69" t="s">
        <v>39</v>
      </c>
      <c r="C3" s="69" t="s">
        <v>40</v>
      </c>
      <c r="D3" s="69" t="s">
        <v>41</v>
      </c>
      <c r="E3" s="68" t="s">
        <v>42</v>
      </c>
      <c r="F3" s="68" t="s">
        <v>43</v>
      </c>
      <c r="G3" s="68" t="s">
        <v>44</v>
      </c>
      <c r="H3" s="68" t="s">
        <v>45</v>
      </c>
      <c r="I3" s="68" t="s">
        <v>46</v>
      </c>
      <c r="J3" s="68" t="s">
        <v>47</v>
      </c>
      <c r="K3" s="23"/>
      <c r="L3" s="29"/>
      <c r="M3" s="30"/>
      <c r="N3" s="30"/>
      <c r="O3" s="30"/>
      <c r="P3" s="30"/>
      <c r="Q3" s="30"/>
      <c r="R3" s="30"/>
      <c r="S3" s="30"/>
      <c r="T3" s="30"/>
      <c r="U3" s="30"/>
      <c r="V3" s="30"/>
      <c r="W3" s="30"/>
      <c r="X3" s="30"/>
      <c r="Y3" s="30"/>
      <c r="Z3" s="30"/>
      <c r="AA3" s="30"/>
      <c r="AB3" s="30"/>
      <c r="AC3" s="30"/>
      <c r="AD3" s="30"/>
      <c r="AE3" s="31"/>
      <c r="AF3" s="23"/>
      <c r="AG3" s="23"/>
    </row>
    <row r="4" spans="1:33" x14ac:dyDescent="0.25">
      <c r="A4" s="32">
        <v>1</v>
      </c>
      <c r="B4" s="33" t="s">
        <v>48</v>
      </c>
      <c r="C4" s="34" t="s">
        <v>49</v>
      </c>
      <c r="D4" s="34" t="s">
        <v>50</v>
      </c>
      <c r="E4" s="34" t="s">
        <v>51</v>
      </c>
      <c r="F4" s="35" t="s">
        <v>52</v>
      </c>
      <c r="G4" s="35">
        <v>30062</v>
      </c>
      <c r="H4" s="33" t="s">
        <v>53</v>
      </c>
      <c r="I4" s="37" t="s">
        <v>54</v>
      </c>
      <c r="J4" s="70">
        <v>157665</v>
      </c>
      <c r="K4" s="23"/>
      <c r="L4" s="300" t="s">
        <v>55</v>
      </c>
      <c r="M4" s="301"/>
      <c r="N4" s="301"/>
      <c r="O4" s="301"/>
      <c r="P4" s="301"/>
      <c r="Q4" s="301"/>
      <c r="R4" s="301"/>
      <c r="S4" s="301"/>
      <c r="T4" s="301"/>
      <c r="U4" s="301"/>
      <c r="V4" s="301"/>
      <c r="W4" s="301"/>
      <c r="X4" s="301"/>
      <c r="Y4" s="301"/>
      <c r="Z4" s="301"/>
      <c r="AA4" s="301"/>
      <c r="AB4" s="301"/>
      <c r="AC4" s="301"/>
      <c r="AD4" s="301"/>
      <c r="AE4" s="302"/>
      <c r="AF4" s="23"/>
      <c r="AG4" s="23"/>
    </row>
    <row r="5" spans="1:33" x14ac:dyDescent="0.25">
      <c r="A5" s="32">
        <v>2</v>
      </c>
      <c r="B5" s="39" t="s">
        <v>56</v>
      </c>
      <c r="C5" s="39" t="s">
        <v>57</v>
      </c>
      <c r="D5" s="39" t="s">
        <v>58</v>
      </c>
      <c r="E5" s="39" t="s">
        <v>51</v>
      </c>
      <c r="F5" s="40" t="s">
        <v>52</v>
      </c>
      <c r="G5" s="40">
        <v>30063</v>
      </c>
      <c r="H5" s="42" t="s">
        <v>59</v>
      </c>
      <c r="I5" s="43" t="s">
        <v>60</v>
      </c>
      <c r="J5" s="71">
        <v>156340</v>
      </c>
      <c r="K5" s="23"/>
      <c r="L5" s="45"/>
      <c r="M5" s="46"/>
      <c r="N5" s="46"/>
      <c r="O5" s="46"/>
      <c r="P5" s="46"/>
      <c r="Q5" s="46"/>
      <c r="R5" s="46"/>
      <c r="S5" s="46"/>
      <c r="T5" s="46"/>
      <c r="U5" s="46"/>
      <c r="V5" s="46"/>
      <c r="W5" s="46"/>
      <c r="X5" s="46"/>
      <c r="Y5" s="46"/>
      <c r="Z5" s="46"/>
      <c r="AA5" s="46"/>
      <c r="AB5" s="46"/>
      <c r="AC5" s="46"/>
      <c r="AD5" s="46"/>
      <c r="AE5" s="47"/>
      <c r="AF5" s="23"/>
      <c r="AG5" s="23"/>
    </row>
    <row r="6" spans="1:33" x14ac:dyDescent="0.25">
      <c r="A6" s="32">
        <v>3</v>
      </c>
      <c r="B6" s="39" t="s">
        <v>61</v>
      </c>
      <c r="C6" s="42" t="s">
        <v>62</v>
      </c>
      <c r="D6" s="39" t="s">
        <v>63</v>
      </c>
      <c r="E6" s="39" t="s">
        <v>51</v>
      </c>
      <c r="F6" s="40" t="s">
        <v>52</v>
      </c>
      <c r="G6" s="40">
        <v>30064</v>
      </c>
      <c r="H6" s="42" t="s">
        <v>64</v>
      </c>
      <c r="I6" s="43" t="s">
        <v>65</v>
      </c>
      <c r="J6" s="71">
        <v>81480</v>
      </c>
      <c r="K6" s="23"/>
      <c r="L6" s="45"/>
      <c r="M6" s="48" t="s">
        <v>39</v>
      </c>
      <c r="N6" s="46"/>
      <c r="O6" s="46"/>
      <c r="P6" s="49" t="str">
        <f>INDEX($B$4:$B$104,COUNTA($B$4:$B$104))</f>
        <v>Last</v>
      </c>
      <c r="Q6" s="50"/>
      <c r="R6" s="50"/>
      <c r="S6" s="50"/>
      <c r="T6" s="50"/>
      <c r="U6" s="51"/>
      <c r="V6" s="46"/>
      <c r="W6" s="52" t="s">
        <v>42</v>
      </c>
      <c r="X6" s="46"/>
      <c r="Y6" s="49" t="str">
        <f>INDEX($E$4:$E$104,COUNTA($E$4:$E$104))</f>
        <v>Adams</v>
      </c>
      <c r="Z6" s="50"/>
      <c r="AA6" s="50"/>
      <c r="AB6" s="50"/>
      <c r="AC6" s="50"/>
      <c r="AD6" s="51"/>
      <c r="AE6" s="47"/>
      <c r="AF6" s="23"/>
      <c r="AG6" s="23"/>
    </row>
    <row r="7" spans="1:33" x14ac:dyDescent="0.25">
      <c r="A7" s="32">
        <v>4</v>
      </c>
      <c r="B7" s="39" t="s">
        <v>66</v>
      </c>
      <c r="C7" s="42" t="s">
        <v>67</v>
      </c>
      <c r="D7" s="39" t="s">
        <v>68</v>
      </c>
      <c r="E7" s="39" t="s">
        <v>51</v>
      </c>
      <c r="F7" s="40" t="s">
        <v>52</v>
      </c>
      <c r="G7" s="40">
        <v>30065</v>
      </c>
      <c r="H7" s="42" t="s">
        <v>69</v>
      </c>
      <c r="I7" s="43" t="s">
        <v>54</v>
      </c>
      <c r="J7" s="71">
        <v>202578</v>
      </c>
      <c r="K7" s="23"/>
      <c r="L7" s="45"/>
      <c r="M7" s="46"/>
      <c r="N7" s="46"/>
      <c r="O7" s="46"/>
      <c r="P7" s="46"/>
      <c r="Q7" s="46"/>
      <c r="R7" s="46"/>
      <c r="S7" s="46"/>
      <c r="T7" s="46"/>
      <c r="U7" s="46"/>
      <c r="V7" s="46"/>
      <c r="W7" s="46"/>
      <c r="X7" s="46"/>
      <c r="Y7" s="46"/>
      <c r="Z7" s="46"/>
      <c r="AA7" s="46"/>
      <c r="AB7" s="46"/>
      <c r="AC7" s="46"/>
      <c r="AD7" s="46"/>
      <c r="AE7" s="47"/>
      <c r="AF7" s="23"/>
      <c r="AG7" s="23"/>
    </row>
    <row r="8" spans="1:33" x14ac:dyDescent="0.25">
      <c r="A8" s="32">
        <v>5</v>
      </c>
      <c r="B8" s="42" t="s">
        <v>70</v>
      </c>
      <c r="C8" s="39" t="s">
        <v>71</v>
      </c>
      <c r="D8" s="39" t="s">
        <v>72</v>
      </c>
      <c r="E8" s="39" t="s">
        <v>51</v>
      </c>
      <c r="F8" s="40" t="s">
        <v>52</v>
      </c>
      <c r="G8" s="40">
        <v>30066</v>
      </c>
      <c r="H8" s="42" t="s">
        <v>73</v>
      </c>
      <c r="I8" s="43" t="s">
        <v>60</v>
      </c>
      <c r="J8" s="71">
        <v>177209</v>
      </c>
      <c r="K8" s="23"/>
      <c r="L8" s="45"/>
      <c r="M8" s="48" t="s">
        <v>40</v>
      </c>
      <c r="N8" s="46"/>
      <c r="O8" s="46"/>
      <c r="P8" s="49" t="str">
        <f>INDEX($C$4:$C$104,COUNTA($C$4:$C$104))</f>
        <v>First</v>
      </c>
      <c r="Q8" s="50"/>
      <c r="R8" s="50"/>
      <c r="S8" s="50"/>
      <c r="T8" s="50"/>
      <c r="U8" s="51"/>
      <c r="V8" s="46"/>
      <c r="W8" s="52" t="s">
        <v>43</v>
      </c>
      <c r="X8" s="46"/>
      <c r="Y8" s="49" t="str">
        <f>INDEX($F$4:$F$104,COUNTA($F$4:$F$104))</f>
        <v>AZ</v>
      </c>
      <c r="Z8" s="50"/>
      <c r="AA8" s="50"/>
      <c r="AB8" s="50"/>
      <c r="AC8" s="50"/>
      <c r="AD8" s="51"/>
      <c r="AE8" s="47"/>
      <c r="AF8" s="23"/>
      <c r="AG8" s="23"/>
    </row>
    <row r="9" spans="1:33" x14ac:dyDescent="0.25">
      <c r="A9" s="32">
        <v>6</v>
      </c>
      <c r="B9" s="39" t="s">
        <v>74</v>
      </c>
      <c r="C9" s="39" t="s">
        <v>75</v>
      </c>
      <c r="D9" s="39" t="s">
        <v>76</v>
      </c>
      <c r="E9" s="39" t="s">
        <v>77</v>
      </c>
      <c r="F9" s="40" t="s">
        <v>52</v>
      </c>
      <c r="G9" s="40">
        <v>30092</v>
      </c>
      <c r="H9" s="42" t="s">
        <v>78</v>
      </c>
      <c r="I9" s="43" t="s">
        <v>65</v>
      </c>
      <c r="J9" s="71">
        <v>212254.23</v>
      </c>
      <c r="K9" s="23"/>
      <c r="L9" s="45"/>
      <c r="M9" s="46"/>
      <c r="N9" s="46"/>
      <c r="O9" s="46"/>
      <c r="P9" s="46"/>
      <c r="Q9" s="46"/>
      <c r="R9" s="46"/>
      <c r="S9" s="46"/>
      <c r="T9" s="46"/>
      <c r="U9" s="46"/>
      <c r="V9" s="46"/>
      <c r="W9" s="46"/>
      <c r="X9" s="46"/>
      <c r="Y9" s="46"/>
      <c r="Z9" s="46"/>
      <c r="AA9" s="46"/>
      <c r="AB9" s="46"/>
      <c r="AC9" s="46"/>
      <c r="AD9" s="46"/>
      <c r="AE9" s="47"/>
      <c r="AF9" s="23"/>
      <c r="AG9" s="23"/>
    </row>
    <row r="10" spans="1:33" x14ac:dyDescent="0.25">
      <c r="A10" s="32">
        <v>7</v>
      </c>
      <c r="B10" s="39" t="s">
        <v>79</v>
      </c>
      <c r="C10" s="39" t="s">
        <v>80</v>
      </c>
      <c r="D10" s="39" t="s">
        <v>50</v>
      </c>
      <c r="E10" s="39" t="s">
        <v>81</v>
      </c>
      <c r="F10" s="40" t="s">
        <v>82</v>
      </c>
      <c r="G10" s="40">
        <v>30092</v>
      </c>
      <c r="H10" s="42" t="s">
        <v>53</v>
      </c>
      <c r="I10" s="43" t="s">
        <v>54</v>
      </c>
      <c r="J10" s="71">
        <v>124533.45</v>
      </c>
      <c r="K10" s="23"/>
      <c r="L10" s="45"/>
      <c r="M10" s="48" t="s">
        <v>41</v>
      </c>
      <c r="N10" s="46"/>
      <c r="O10" s="46"/>
      <c r="P10" s="49" t="str">
        <f>INDEX($D$4:$D$104,COUNTA($D$4:$D$104))</f>
        <v>12345 Example</v>
      </c>
      <c r="Q10" s="50"/>
      <c r="R10" s="50"/>
      <c r="S10" s="50"/>
      <c r="T10" s="50"/>
      <c r="U10" s="51"/>
      <c r="V10" s="46"/>
      <c r="W10" s="52" t="s">
        <v>44</v>
      </c>
      <c r="X10" s="46"/>
      <c r="Y10" s="306">
        <f>INDEX($G$4:$G$104,COUNTA($G$4:$G$104))</f>
        <v>12345</v>
      </c>
      <c r="Z10" s="314"/>
      <c r="AA10" s="314"/>
      <c r="AB10" s="50"/>
      <c r="AC10" s="50"/>
      <c r="AD10" s="51"/>
      <c r="AE10" s="47"/>
      <c r="AF10" s="23"/>
      <c r="AG10" s="23"/>
    </row>
    <row r="11" spans="1:33" x14ac:dyDescent="0.25">
      <c r="A11" s="32">
        <v>8</v>
      </c>
      <c r="B11" s="181" t="s">
        <v>215</v>
      </c>
      <c r="C11" s="181" t="s">
        <v>216</v>
      </c>
      <c r="D11" s="181" t="s">
        <v>217</v>
      </c>
      <c r="E11" s="181" t="s">
        <v>218</v>
      </c>
      <c r="F11" s="182" t="s">
        <v>219</v>
      </c>
      <c r="G11" s="182">
        <v>12345</v>
      </c>
      <c r="H11" s="183" t="s">
        <v>220</v>
      </c>
      <c r="I11" s="184" t="s">
        <v>221</v>
      </c>
      <c r="J11" s="185">
        <v>555555</v>
      </c>
      <c r="K11" s="23"/>
      <c r="L11" s="45"/>
      <c r="M11" s="46"/>
      <c r="N11" s="46"/>
      <c r="O11" s="46"/>
      <c r="P11" s="46"/>
      <c r="Q11" s="46"/>
      <c r="R11" s="46"/>
      <c r="S11" s="46"/>
      <c r="T11" s="46"/>
      <c r="U11" s="46"/>
      <c r="V11" s="46"/>
      <c r="W11" s="46"/>
      <c r="X11" s="46"/>
      <c r="Y11" s="46"/>
      <c r="Z11" s="46"/>
      <c r="AA11" s="46"/>
      <c r="AB11" s="46"/>
      <c r="AC11" s="46"/>
      <c r="AD11" s="46"/>
      <c r="AE11" s="47"/>
      <c r="AF11" s="23"/>
      <c r="AG11" s="23"/>
    </row>
    <row r="12" spans="1:33" x14ac:dyDescent="0.25">
      <c r="A12" s="32">
        <v>9</v>
      </c>
      <c r="B12" s="39"/>
      <c r="C12" s="39"/>
      <c r="D12" s="39"/>
      <c r="E12" s="39"/>
      <c r="F12" s="39"/>
      <c r="G12" s="39"/>
      <c r="H12" s="39"/>
      <c r="I12" s="40"/>
      <c r="J12" s="39"/>
      <c r="K12" s="23"/>
      <c r="L12" s="45"/>
      <c r="M12" s="52" t="s">
        <v>45</v>
      </c>
      <c r="N12" s="46"/>
      <c r="O12" s="46"/>
      <c r="P12" s="49" t="str">
        <f>INDEX($H$4:$H$104,COUNTA($H$4:$H$104))</f>
        <v>123-456-7890</v>
      </c>
      <c r="Q12" s="50"/>
      <c r="R12" s="50"/>
      <c r="S12" s="50"/>
      <c r="T12" s="50"/>
      <c r="U12" s="51"/>
      <c r="V12" s="46"/>
      <c r="W12" s="60" t="s">
        <v>99</v>
      </c>
      <c r="X12" s="46"/>
      <c r="Y12" s="49" t="str">
        <f>INDEX($I$4:$I$104,COUNTA($I$4:$I$104))</f>
        <v>Plan Z</v>
      </c>
      <c r="Z12" s="50"/>
      <c r="AA12" s="50"/>
      <c r="AB12" s="50"/>
      <c r="AC12" s="50"/>
      <c r="AD12" s="51"/>
      <c r="AE12" s="47"/>
      <c r="AF12" s="23"/>
      <c r="AG12" s="23"/>
    </row>
    <row r="13" spans="1:33" x14ac:dyDescent="0.25">
      <c r="A13" s="32">
        <v>10</v>
      </c>
      <c r="B13" s="39"/>
      <c r="C13" s="39"/>
      <c r="D13" s="39"/>
      <c r="E13" s="39"/>
      <c r="F13" s="39"/>
      <c r="G13" s="39"/>
      <c r="H13" s="39"/>
      <c r="I13" s="40"/>
      <c r="J13" s="39"/>
      <c r="K13" s="23"/>
      <c r="L13" s="45"/>
      <c r="M13" s="46"/>
      <c r="N13" s="46"/>
      <c r="O13" s="46"/>
      <c r="P13" s="46"/>
      <c r="Q13" s="46"/>
      <c r="R13" s="46"/>
      <c r="S13" s="46"/>
      <c r="T13" s="46"/>
      <c r="U13" s="46"/>
      <c r="V13" s="46"/>
      <c r="W13" s="46"/>
      <c r="X13" s="46"/>
      <c r="Y13" s="46"/>
      <c r="Z13" s="46"/>
      <c r="AA13" s="46"/>
      <c r="AB13" s="46"/>
      <c r="AC13" s="46"/>
      <c r="AD13" s="46"/>
      <c r="AE13" s="47"/>
      <c r="AF13" s="23"/>
      <c r="AG13" s="23"/>
    </row>
    <row r="14" spans="1:33" x14ac:dyDescent="0.25">
      <c r="A14" s="32">
        <v>11</v>
      </c>
      <c r="B14" s="39"/>
      <c r="C14" s="39"/>
      <c r="D14" s="39"/>
      <c r="E14" s="39"/>
      <c r="F14" s="39"/>
      <c r="G14" s="39"/>
      <c r="H14" s="39"/>
      <c r="I14" s="40"/>
      <c r="J14" s="39"/>
      <c r="K14" s="23"/>
      <c r="L14" s="45"/>
      <c r="M14" s="52" t="s">
        <v>90</v>
      </c>
      <c r="N14" s="46"/>
      <c r="O14" s="46"/>
      <c r="P14" s="46"/>
      <c r="Q14" s="46"/>
      <c r="R14" s="46"/>
      <c r="S14" s="46"/>
      <c r="T14" s="46"/>
      <c r="U14" s="46"/>
      <c r="V14" s="46"/>
      <c r="W14" s="46"/>
      <c r="X14" s="46"/>
      <c r="Y14" s="359">
        <f>INDEX($J$4:$J$104,COUNTA($J$4:$J$104))</f>
        <v>555555</v>
      </c>
      <c r="Z14" s="332"/>
      <c r="AA14" s="332"/>
      <c r="AB14" s="332"/>
      <c r="AC14" s="50"/>
      <c r="AD14" s="51"/>
      <c r="AE14" s="47"/>
      <c r="AF14" s="23"/>
      <c r="AG14" s="23"/>
    </row>
    <row r="15" spans="1:33" x14ac:dyDescent="0.25">
      <c r="A15" s="32">
        <v>12</v>
      </c>
      <c r="B15" s="39"/>
      <c r="C15" s="39"/>
      <c r="D15" s="39"/>
      <c r="E15" s="39"/>
      <c r="F15" s="39"/>
      <c r="G15" s="39"/>
      <c r="H15" s="39"/>
      <c r="I15" s="40"/>
      <c r="J15" s="39"/>
      <c r="K15" s="23"/>
      <c r="L15" s="45"/>
      <c r="M15" s="46"/>
      <c r="N15" s="46"/>
      <c r="O15" s="46"/>
      <c r="P15" s="46"/>
      <c r="Q15" s="46"/>
      <c r="R15" s="46"/>
      <c r="S15" s="46"/>
      <c r="T15" s="46"/>
      <c r="U15" s="46"/>
      <c r="V15" s="46"/>
      <c r="W15" s="46"/>
      <c r="X15" s="46"/>
      <c r="Y15" s="46"/>
      <c r="Z15" s="46"/>
      <c r="AA15" s="46"/>
      <c r="AB15" s="46"/>
      <c r="AC15" s="46"/>
      <c r="AD15" s="46"/>
      <c r="AE15" s="47"/>
      <c r="AF15" s="23"/>
      <c r="AG15" s="23"/>
    </row>
    <row r="16" spans="1:33" x14ac:dyDescent="0.25">
      <c r="A16" s="32">
        <v>13</v>
      </c>
      <c r="B16" s="39"/>
      <c r="C16" s="39"/>
      <c r="D16" s="39"/>
      <c r="E16" s="39"/>
      <c r="F16" s="39"/>
      <c r="G16" s="39"/>
      <c r="H16" s="39"/>
      <c r="I16" s="40"/>
      <c r="J16" s="39"/>
      <c r="K16" s="23"/>
      <c r="L16" s="303" t="s">
        <v>91</v>
      </c>
      <c r="M16" s="304"/>
      <c r="N16" s="304"/>
      <c r="O16" s="304"/>
      <c r="P16" s="304"/>
      <c r="Q16" s="304"/>
      <c r="R16" s="304"/>
      <c r="S16" s="304"/>
      <c r="T16" s="304"/>
      <c r="U16" s="304"/>
      <c r="V16" s="304"/>
      <c r="W16" s="304"/>
      <c r="X16" s="304"/>
      <c r="Y16" s="304"/>
      <c r="Z16" s="304"/>
      <c r="AA16" s="304"/>
      <c r="AB16" s="304"/>
      <c r="AC16" s="304"/>
      <c r="AD16" s="304"/>
      <c r="AE16" s="305"/>
      <c r="AF16" s="23"/>
      <c r="AG16" s="23"/>
    </row>
    <row r="17" spans="1:33" ht="16.5" thickBot="1" x14ac:dyDescent="0.3">
      <c r="A17" s="32">
        <v>14</v>
      </c>
      <c r="B17" s="39"/>
      <c r="C17" s="39"/>
      <c r="D17" s="39"/>
      <c r="E17" s="39"/>
      <c r="F17" s="39"/>
      <c r="G17" s="39"/>
      <c r="H17" s="39"/>
      <c r="I17" s="40"/>
      <c r="J17" s="39"/>
      <c r="K17" s="23"/>
      <c r="L17" s="61"/>
      <c r="M17" s="62"/>
      <c r="N17" s="62"/>
      <c r="O17" s="62"/>
      <c r="P17" s="62"/>
      <c r="Q17" s="62"/>
      <c r="R17" s="62"/>
      <c r="S17" s="62"/>
      <c r="T17" s="62"/>
      <c r="U17" s="62"/>
      <c r="V17" s="62"/>
      <c r="W17" s="62"/>
      <c r="X17" s="62"/>
      <c r="Y17" s="62"/>
      <c r="Z17" s="62"/>
      <c r="AA17" s="62"/>
      <c r="AB17" s="62"/>
      <c r="AC17" s="62"/>
      <c r="AD17" s="62"/>
      <c r="AE17" s="63"/>
      <c r="AF17" s="23"/>
      <c r="AG17" s="23"/>
    </row>
    <row r="18" spans="1:33" x14ac:dyDescent="0.25">
      <c r="A18" s="32">
        <v>15</v>
      </c>
      <c r="B18" s="39"/>
      <c r="C18" s="39"/>
      <c r="D18" s="39"/>
      <c r="E18" s="39"/>
      <c r="F18" s="39"/>
      <c r="G18" s="39"/>
      <c r="H18" s="39"/>
      <c r="I18" s="40"/>
      <c r="J18" s="39"/>
      <c r="K18" s="23"/>
      <c r="L18" s="23"/>
      <c r="M18" s="23"/>
      <c r="N18" s="23"/>
      <c r="O18" s="23"/>
      <c r="P18" s="23"/>
      <c r="Q18" s="23"/>
      <c r="R18" s="23"/>
      <c r="S18" s="23"/>
      <c r="T18" s="23"/>
      <c r="U18" s="23"/>
      <c r="V18" s="23"/>
      <c r="W18" s="23"/>
      <c r="X18" s="23"/>
      <c r="Y18" s="23"/>
      <c r="Z18" s="23"/>
      <c r="AA18" s="23"/>
      <c r="AB18" s="23"/>
      <c r="AC18" s="23"/>
      <c r="AD18" s="23"/>
      <c r="AE18" s="23"/>
      <c r="AF18" s="23"/>
      <c r="AG18" s="23"/>
    </row>
    <row r="19" spans="1:33" x14ac:dyDescent="0.25">
      <c r="A19" s="32">
        <v>16</v>
      </c>
      <c r="B19" s="39"/>
      <c r="C19" s="39"/>
      <c r="D19" s="39"/>
      <c r="E19" s="39"/>
      <c r="F19" s="39"/>
      <c r="G19" s="39"/>
      <c r="H19" s="39"/>
      <c r="I19" s="40"/>
      <c r="J19" s="39"/>
      <c r="K19" s="23"/>
      <c r="L19" s="23"/>
      <c r="M19" s="23"/>
      <c r="N19" s="23"/>
      <c r="O19" s="23"/>
      <c r="P19" s="23"/>
      <c r="Q19" s="23"/>
      <c r="R19" s="23"/>
      <c r="S19" s="23"/>
      <c r="T19" s="23"/>
      <c r="U19" s="23"/>
      <c r="V19" s="23"/>
      <c r="W19" s="23"/>
      <c r="X19" s="23"/>
      <c r="Y19" s="23"/>
      <c r="Z19" s="23"/>
      <c r="AA19" s="23"/>
      <c r="AB19" s="23"/>
      <c r="AC19" s="23"/>
      <c r="AD19" s="23"/>
      <c r="AE19" s="23"/>
      <c r="AF19" s="23"/>
      <c r="AG19" s="23"/>
    </row>
    <row r="20" spans="1:33" x14ac:dyDescent="0.25">
      <c r="A20" s="32">
        <v>17</v>
      </c>
      <c r="B20" s="39"/>
      <c r="C20" s="39"/>
      <c r="D20" s="39"/>
      <c r="E20" s="39"/>
      <c r="F20" s="39"/>
      <c r="G20" s="39"/>
      <c r="H20" s="39"/>
      <c r="I20" s="40"/>
      <c r="J20" s="39"/>
      <c r="K20" s="23"/>
      <c r="L20" s="23"/>
      <c r="M20" s="23"/>
      <c r="N20" s="23"/>
      <c r="O20" s="23"/>
      <c r="P20" s="23"/>
      <c r="Q20" s="23"/>
      <c r="R20" s="23"/>
      <c r="S20" s="23"/>
      <c r="T20" s="23"/>
      <c r="U20" s="23"/>
      <c r="V20" s="23"/>
      <c r="W20" s="23"/>
      <c r="X20" s="23"/>
      <c r="Y20" s="23"/>
      <c r="Z20" s="23"/>
      <c r="AA20" s="23"/>
      <c r="AB20" s="23"/>
      <c r="AC20" s="23"/>
      <c r="AD20" s="23"/>
      <c r="AE20" s="23"/>
      <c r="AF20" s="23"/>
      <c r="AG20" s="23"/>
    </row>
    <row r="21" spans="1:33" x14ac:dyDescent="0.25">
      <c r="A21" s="32">
        <v>18</v>
      </c>
      <c r="B21" s="39"/>
      <c r="C21" s="39"/>
      <c r="D21" s="39"/>
      <c r="E21" s="39"/>
      <c r="F21" s="39"/>
      <c r="G21" s="39"/>
      <c r="H21" s="39"/>
      <c r="I21" s="40"/>
      <c r="J21" s="39"/>
      <c r="K21" s="23"/>
      <c r="L21" s="23"/>
      <c r="M21" s="23"/>
      <c r="N21" s="23"/>
      <c r="O21" s="23"/>
      <c r="P21" s="23"/>
      <c r="Q21" s="23"/>
      <c r="R21" s="23"/>
      <c r="S21" s="23"/>
      <c r="T21" s="23"/>
      <c r="U21" s="23"/>
      <c r="V21" s="23"/>
      <c r="W21" s="23"/>
      <c r="X21" s="23"/>
      <c r="Y21" s="23"/>
      <c r="Z21" s="23"/>
      <c r="AA21" s="23"/>
      <c r="AB21" s="23"/>
      <c r="AC21" s="23"/>
      <c r="AD21" s="23"/>
      <c r="AE21" s="23"/>
      <c r="AF21" s="23"/>
      <c r="AG21" s="23"/>
    </row>
    <row r="22" spans="1:33" x14ac:dyDescent="0.25">
      <c r="A22" s="32">
        <v>19</v>
      </c>
      <c r="B22" s="39"/>
      <c r="C22" s="39"/>
      <c r="D22" s="39"/>
      <c r="E22" s="39"/>
      <c r="F22" s="39"/>
      <c r="G22" s="39"/>
      <c r="H22" s="39"/>
      <c r="I22" s="40"/>
      <c r="J22" s="39"/>
      <c r="K22" s="23"/>
      <c r="L22" s="23"/>
      <c r="M22" s="23"/>
      <c r="N22" s="23"/>
      <c r="O22" s="23"/>
      <c r="P22" s="23"/>
      <c r="Q22" s="23"/>
      <c r="R22" s="23"/>
      <c r="S22" s="23"/>
      <c r="T22" s="23"/>
      <c r="U22" s="23"/>
      <c r="V22" s="23"/>
      <c r="W22" s="23"/>
      <c r="X22" s="23"/>
      <c r="Y22" s="23"/>
      <c r="Z22" s="23"/>
      <c r="AA22" s="23"/>
      <c r="AB22" s="23"/>
      <c r="AC22" s="23"/>
      <c r="AD22" s="23"/>
      <c r="AE22" s="23"/>
      <c r="AF22" s="23"/>
      <c r="AG22" s="23"/>
    </row>
    <row r="23" spans="1:33" x14ac:dyDescent="0.25">
      <c r="A23" s="32">
        <v>20</v>
      </c>
      <c r="B23" s="39"/>
      <c r="C23" s="39"/>
      <c r="D23" s="39"/>
      <c r="E23" s="39"/>
      <c r="F23" s="39"/>
      <c r="G23" s="39"/>
      <c r="H23" s="39"/>
      <c r="I23" s="40"/>
      <c r="J23" s="39"/>
      <c r="K23" s="23"/>
      <c r="L23" s="23"/>
      <c r="M23" s="23"/>
      <c r="N23" s="23"/>
      <c r="O23" s="23"/>
      <c r="P23" s="23"/>
      <c r="Q23" s="23"/>
      <c r="R23" s="23"/>
      <c r="S23" s="23"/>
      <c r="T23" s="23"/>
      <c r="U23" s="23"/>
      <c r="V23" s="23"/>
      <c r="W23" s="23"/>
      <c r="X23" s="23"/>
      <c r="Y23" s="23"/>
      <c r="Z23" s="23"/>
      <c r="AA23" s="23"/>
      <c r="AB23" s="23"/>
      <c r="AC23" s="23"/>
      <c r="AD23" s="23"/>
      <c r="AE23" s="23"/>
      <c r="AF23" s="23"/>
      <c r="AG23" s="23"/>
    </row>
    <row r="24" spans="1:33" x14ac:dyDescent="0.25">
      <c r="A24" s="32">
        <v>21</v>
      </c>
      <c r="B24" s="39"/>
      <c r="C24" s="39"/>
      <c r="D24" s="39"/>
      <c r="E24" s="39"/>
      <c r="F24" s="39"/>
      <c r="G24" s="39"/>
      <c r="H24" s="39"/>
      <c r="I24" s="40"/>
      <c r="J24" s="39"/>
      <c r="K24" s="23"/>
      <c r="L24" s="23"/>
      <c r="M24" s="23"/>
      <c r="N24" s="23"/>
      <c r="O24" s="23"/>
      <c r="P24" s="23"/>
      <c r="Q24" s="23"/>
      <c r="R24" s="23"/>
      <c r="S24" s="23"/>
      <c r="T24" s="23"/>
      <c r="U24" s="23"/>
      <c r="V24" s="23"/>
      <c r="W24" s="23"/>
      <c r="X24" s="23"/>
      <c r="Y24" s="23"/>
      <c r="Z24" s="23"/>
      <c r="AA24" s="23"/>
      <c r="AB24" s="23"/>
      <c r="AC24" s="23"/>
      <c r="AD24" s="23"/>
      <c r="AE24" s="23"/>
      <c r="AF24" s="23"/>
      <c r="AG24" s="23"/>
    </row>
    <row r="25" spans="1:33" x14ac:dyDescent="0.25">
      <c r="A25" s="32">
        <v>22</v>
      </c>
      <c r="B25" s="39"/>
      <c r="C25" s="39"/>
      <c r="D25" s="39"/>
      <c r="E25" s="39"/>
      <c r="F25" s="39"/>
      <c r="G25" s="39"/>
      <c r="H25" s="39"/>
      <c r="I25" s="40"/>
      <c r="J25" s="39"/>
      <c r="K25" s="23"/>
      <c r="L25" s="23"/>
      <c r="M25" s="23"/>
      <c r="N25" s="23"/>
      <c r="O25" s="23"/>
      <c r="P25" s="23"/>
      <c r="Q25" s="23"/>
      <c r="R25" s="23"/>
      <c r="S25" s="23"/>
      <c r="T25" s="23"/>
      <c r="U25" s="23"/>
      <c r="V25" s="23"/>
      <c r="W25" s="23"/>
      <c r="X25" s="23"/>
      <c r="Y25" s="23"/>
      <c r="Z25" s="23"/>
      <c r="AA25" s="23"/>
      <c r="AB25" s="23"/>
      <c r="AC25" s="23"/>
      <c r="AD25" s="23"/>
      <c r="AE25" s="23"/>
      <c r="AF25" s="23"/>
      <c r="AG25" s="23"/>
    </row>
    <row r="26" spans="1:33" x14ac:dyDescent="0.25">
      <c r="A26" s="32">
        <v>23</v>
      </c>
      <c r="B26" s="39"/>
      <c r="C26" s="39"/>
      <c r="D26" s="39"/>
      <c r="E26" s="39"/>
      <c r="F26" s="39"/>
      <c r="G26" s="39"/>
      <c r="H26" s="39"/>
      <c r="I26" s="40"/>
      <c r="J26" s="39"/>
      <c r="K26" s="23"/>
      <c r="L26" s="23"/>
      <c r="M26" s="23"/>
      <c r="N26" s="23"/>
      <c r="O26" s="23"/>
      <c r="P26" s="23"/>
      <c r="Q26" s="23"/>
      <c r="R26" s="23"/>
      <c r="S26" s="23"/>
      <c r="T26" s="23"/>
      <c r="U26" s="23"/>
      <c r="V26" s="23"/>
      <c r="W26" s="23"/>
      <c r="X26" s="23"/>
      <c r="Y26" s="23"/>
      <c r="Z26" s="23"/>
      <c r="AA26" s="23"/>
      <c r="AB26" s="23"/>
      <c r="AC26" s="23"/>
      <c r="AD26" s="23"/>
      <c r="AE26" s="23"/>
      <c r="AF26" s="23"/>
      <c r="AG26" s="23"/>
    </row>
    <row r="27" spans="1:33" x14ac:dyDescent="0.25">
      <c r="A27" s="32">
        <v>24</v>
      </c>
      <c r="B27" s="39"/>
      <c r="C27" s="39"/>
      <c r="D27" s="39"/>
      <c r="E27" s="39"/>
      <c r="F27" s="39"/>
      <c r="G27" s="39"/>
      <c r="H27" s="39"/>
      <c r="I27" s="40"/>
      <c r="J27" s="39"/>
      <c r="K27" s="23"/>
      <c r="L27" s="23"/>
      <c r="M27" s="23"/>
      <c r="N27" s="23"/>
      <c r="O27" s="23"/>
      <c r="P27" s="23"/>
      <c r="Q27" s="23"/>
      <c r="R27" s="23"/>
      <c r="S27" s="23"/>
      <c r="T27" s="23"/>
      <c r="U27" s="23"/>
      <c r="V27" s="23"/>
      <c r="W27" s="23"/>
      <c r="X27" s="23"/>
      <c r="Y27" s="23"/>
      <c r="Z27" s="23"/>
      <c r="AA27" s="23"/>
      <c r="AB27" s="23"/>
      <c r="AC27" s="23"/>
      <c r="AD27" s="23"/>
      <c r="AE27" s="23"/>
      <c r="AF27" s="23"/>
      <c r="AG27" s="23"/>
    </row>
    <row r="28" spans="1:33" x14ac:dyDescent="0.25">
      <c r="A28" s="32">
        <v>25</v>
      </c>
      <c r="B28" s="39"/>
      <c r="C28" s="39"/>
      <c r="D28" s="39"/>
      <c r="E28" s="39"/>
      <c r="F28" s="39"/>
      <c r="G28" s="39"/>
      <c r="H28" s="39"/>
      <c r="I28" s="40"/>
      <c r="J28" s="39"/>
      <c r="K28" s="23"/>
      <c r="L28" s="23"/>
      <c r="M28" s="23"/>
      <c r="N28" s="23"/>
      <c r="O28" s="23"/>
      <c r="P28" s="23"/>
      <c r="Q28" s="23"/>
      <c r="R28" s="23"/>
      <c r="S28" s="23"/>
      <c r="T28" s="23"/>
      <c r="U28" s="23"/>
      <c r="V28" s="23"/>
      <c r="W28" s="23"/>
      <c r="X28" s="23"/>
      <c r="Y28" s="23"/>
      <c r="Z28" s="23"/>
      <c r="AA28" s="23"/>
      <c r="AB28" s="23"/>
      <c r="AC28" s="23"/>
      <c r="AD28" s="23"/>
      <c r="AE28" s="23"/>
      <c r="AF28" s="23"/>
      <c r="AG28" s="23"/>
    </row>
    <row r="29" spans="1:33" x14ac:dyDescent="0.25">
      <c r="A29" s="32">
        <v>26</v>
      </c>
      <c r="B29" s="39"/>
      <c r="C29" s="39"/>
      <c r="D29" s="39"/>
      <c r="E29" s="39"/>
      <c r="F29" s="39"/>
      <c r="G29" s="39"/>
      <c r="H29" s="39"/>
      <c r="I29" s="40"/>
      <c r="J29" s="39"/>
      <c r="K29" s="23"/>
      <c r="L29" s="23"/>
      <c r="M29" s="23"/>
      <c r="N29" s="23"/>
      <c r="O29" s="23"/>
      <c r="P29" s="23"/>
      <c r="Q29" s="23"/>
      <c r="R29" s="23"/>
      <c r="S29" s="23"/>
      <c r="T29" s="23"/>
      <c r="U29" s="23"/>
      <c r="V29" s="23"/>
      <c r="W29" s="23"/>
      <c r="X29" s="23"/>
      <c r="Y29" s="23"/>
      <c r="Z29" s="23"/>
      <c r="AA29" s="23"/>
      <c r="AB29" s="23"/>
      <c r="AC29" s="23"/>
      <c r="AD29" s="23"/>
      <c r="AE29" s="23"/>
      <c r="AF29" s="23"/>
      <c r="AG29" s="23"/>
    </row>
  </sheetData>
  <mergeCells count="4">
    <mergeCell ref="L4:AE4"/>
    <mergeCell ref="Y10:AA10"/>
    <mergeCell ref="Y14:AB14"/>
    <mergeCell ref="L16:AE16"/>
  </mergeCells>
  <pageMargins left="0.7" right="0.7" top="0.75" bottom="0.75" header="0.3" footer="0.3"/>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AG30"/>
  <sheetViews>
    <sheetView showGridLines="0" workbookViewId="0">
      <selection activeCell="Q1" sqref="Q1"/>
    </sheetView>
  </sheetViews>
  <sheetFormatPr defaultRowHeight="15.75" x14ac:dyDescent="0.25"/>
  <cols>
    <col min="1" max="1" width="7.875" bestFit="1" customWidth="1"/>
    <col min="2" max="3" width="10" bestFit="1" customWidth="1"/>
    <col min="4" max="4" width="19" bestFit="1" customWidth="1"/>
    <col min="5" max="5" width="8.375" bestFit="1" customWidth="1"/>
    <col min="6" max="6" width="5.375" bestFit="1" customWidth="1"/>
    <col min="7" max="7" width="5.875" bestFit="1" customWidth="1"/>
    <col min="8" max="8" width="11.875" bestFit="1" customWidth="1"/>
    <col min="9" max="9" width="11.875" customWidth="1"/>
    <col min="10" max="10" width="12.125" bestFit="1" customWidth="1"/>
    <col min="11" max="11" width="3.75" customWidth="1"/>
    <col min="12" max="31" width="3.625" customWidth="1"/>
    <col min="32" max="32" width="3" customWidth="1"/>
  </cols>
  <sheetData>
    <row r="1" spans="1:33" x14ac:dyDescent="0.25">
      <c r="A1" s="73"/>
      <c r="B1" s="20" t="s">
        <v>79</v>
      </c>
      <c r="C1" s="20" t="s">
        <v>80</v>
      </c>
      <c r="D1" s="20" t="s">
        <v>50</v>
      </c>
      <c r="E1" s="20" t="s">
        <v>81</v>
      </c>
      <c r="F1" s="20" t="s">
        <v>82</v>
      </c>
      <c r="G1" s="20">
        <v>30092</v>
      </c>
      <c r="H1" s="20" t="s">
        <v>53</v>
      </c>
      <c r="I1" s="22" t="s">
        <v>54</v>
      </c>
      <c r="J1" s="20">
        <v>124533.45</v>
      </c>
      <c r="K1" s="23"/>
      <c r="L1" s="23"/>
      <c r="M1" s="23"/>
      <c r="N1" s="23"/>
      <c r="O1" s="23"/>
      <c r="P1" s="23"/>
      <c r="Q1" s="23"/>
      <c r="R1" s="23"/>
      <c r="S1" s="23"/>
      <c r="T1" s="23"/>
      <c r="U1" s="23"/>
      <c r="V1" s="23"/>
      <c r="W1" s="23"/>
      <c r="X1" s="23"/>
      <c r="Y1" s="23"/>
      <c r="Z1" s="23"/>
      <c r="AA1" s="23"/>
      <c r="AB1" s="23"/>
      <c r="AC1" s="23"/>
      <c r="AD1" s="23"/>
      <c r="AE1" s="23"/>
      <c r="AF1" s="23"/>
      <c r="AG1" s="23"/>
    </row>
    <row r="2" spans="1:33" x14ac:dyDescent="0.25">
      <c r="A2" s="73"/>
      <c r="B2" s="20"/>
      <c r="C2" s="20"/>
      <c r="D2" s="20"/>
      <c r="E2" s="20"/>
      <c r="F2" s="20"/>
      <c r="G2" s="20"/>
      <c r="H2" s="20"/>
      <c r="I2" s="22"/>
      <c r="J2" s="20"/>
      <c r="K2" s="23"/>
      <c r="L2" s="23"/>
      <c r="M2" s="23"/>
      <c r="N2" s="23"/>
      <c r="O2" s="23"/>
      <c r="P2" s="23"/>
      <c r="Q2" s="23"/>
      <c r="R2" s="23"/>
      <c r="S2" s="23"/>
      <c r="T2" s="23"/>
      <c r="U2" s="23"/>
      <c r="V2" s="23"/>
      <c r="W2" s="23"/>
      <c r="X2" s="23"/>
      <c r="Y2" s="23"/>
      <c r="Z2" s="23"/>
      <c r="AA2" s="23"/>
      <c r="AB2" s="23"/>
      <c r="AC2" s="23"/>
      <c r="AD2" s="23"/>
      <c r="AE2" s="23"/>
      <c r="AF2" s="23"/>
      <c r="AG2" s="23"/>
    </row>
    <row r="3" spans="1:33" x14ac:dyDescent="0.25">
      <c r="A3" s="186"/>
      <c r="B3" s="187"/>
      <c r="C3" s="186"/>
      <c r="D3" s="186"/>
      <c r="E3" s="186"/>
      <c r="F3" s="186"/>
      <c r="G3" s="186"/>
      <c r="H3" s="186"/>
      <c r="I3" s="186"/>
      <c r="J3" s="186"/>
      <c r="K3" s="186"/>
      <c r="L3" s="186"/>
      <c r="M3" s="186"/>
      <c r="N3" s="186"/>
      <c r="O3" s="186"/>
      <c r="P3" s="186"/>
      <c r="Q3" s="186"/>
      <c r="R3" s="186"/>
      <c r="S3" s="188">
        <f t="shared" ref="S3:AB3" si="0">VLOOKUP(MAX($A$5:$A$149),$A$5:$H$149,2)</f>
        <v>0</v>
      </c>
      <c r="T3" s="188">
        <f t="shared" si="0"/>
        <v>0</v>
      </c>
      <c r="U3" s="188">
        <f t="shared" si="0"/>
        <v>0</v>
      </c>
      <c r="V3" s="188">
        <f t="shared" si="0"/>
        <v>0</v>
      </c>
      <c r="W3" s="188">
        <f t="shared" si="0"/>
        <v>0</v>
      </c>
      <c r="X3" s="188">
        <f t="shared" si="0"/>
        <v>0</v>
      </c>
      <c r="Y3" s="188">
        <f t="shared" si="0"/>
        <v>0</v>
      </c>
      <c r="Z3" s="188">
        <f t="shared" si="0"/>
        <v>0</v>
      </c>
      <c r="AA3" s="188">
        <f t="shared" si="0"/>
        <v>0</v>
      </c>
      <c r="AB3" s="188">
        <f t="shared" si="0"/>
        <v>0</v>
      </c>
      <c r="AC3" s="189"/>
      <c r="AD3" s="189"/>
      <c r="AE3" s="189"/>
      <c r="AF3" s="189"/>
      <c r="AG3" s="189"/>
    </row>
    <row r="4" spans="1:33" ht="16.5" thickBot="1" x14ac:dyDescent="0.3">
      <c r="A4" s="190"/>
      <c r="B4" s="191"/>
      <c r="C4" s="191"/>
      <c r="D4" s="191"/>
      <c r="E4" s="191"/>
      <c r="F4" s="191"/>
      <c r="G4" s="191"/>
      <c r="H4" s="191"/>
      <c r="I4" s="192"/>
      <c r="J4" s="191"/>
      <c r="K4" s="193"/>
      <c r="L4" s="193"/>
      <c r="M4" s="193"/>
      <c r="N4" s="193"/>
      <c r="O4" s="193"/>
      <c r="P4" s="193"/>
      <c r="Q4" s="193"/>
      <c r="R4" s="193"/>
      <c r="S4" s="193"/>
      <c r="T4" s="193"/>
      <c r="U4" s="193"/>
      <c r="V4" s="193"/>
      <c r="W4" s="193"/>
      <c r="X4" s="193"/>
      <c r="Y4" s="193"/>
      <c r="Z4" s="193"/>
      <c r="AA4" s="193"/>
      <c r="AB4" s="193"/>
      <c r="AC4" s="193"/>
      <c r="AD4" s="193"/>
      <c r="AE4" s="193"/>
      <c r="AF4" s="193"/>
      <c r="AG4" s="193"/>
    </row>
    <row r="5" spans="1:33" x14ac:dyDescent="0.25">
      <c r="A5" s="194" t="s">
        <v>38</v>
      </c>
      <c r="B5" s="195" t="s">
        <v>39</v>
      </c>
      <c r="C5" s="195" t="s">
        <v>40</v>
      </c>
      <c r="D5" s="195" t="s">
        <v>41</v>
      </c>
      <c r="E5" s="194" t="s">
        <v>42</v>
      </c>
      <c r="F5" s="194" t="s">
        <v>43</v>
      </c>
      <c r="G5" s="194" t="s">
        <v>44</v>
      </c>
      <c r="H5" s="194" t="s">
        <v>45</v>
      </c>
      <c r="I5" s="194" t="s">
        <v>46</v>
      </c>
      <c r="J5" s="194" t="s">
        <v>47</v>
      </c>
      <c r="K5" s="23"/>
      <c r="L5" s="29"/>
      <c r="M5" s="30"/>
      <c r="N5" s="30"/>
      <c r="O5" s="30"/>
      <c r="P5" s="30"/>
      <c r="Q5" s="30"/>
      <c r="R5" s="30"/>
      <c r="S5" s="30"/>
      <c r="T5" s="30"/>
      <c r="U5" s="30"/>
      <c r="V5" s="30"/>
      <c r="W5" s="30"/>
      <c r="X5" s="30"/>
      <c r="Y5" s="30"/>
      <c r="Z5" s="30"/>
      <c r="AA5" s="30"/>
      <c r="AB5" s="30"/>
      <c r="AC5" s="30"/>
      <c r="AD5" s="30"/>
      <c r="AE5" s="31"/>
      <c r="AF5" s="23"/>
      <c r="AG5" s="23"/>
    </row>
    <row r="6" spans="1:33" x14ac:dyDescent="0.25">
      <c r="A6" s="196">
        <v>1</v>
      </c>
      <c r="B6" s="197" t="s">
        <v>48</v>
      </c>
      <c r="C6" s="198" t="s">
        <v>49</v>
      </c>
      <c r="D6" s="198" t="s">
        <v>50</v>
      </c>
      <c r="E6" s="198" t="s">
        <v>51</v>
      </c>
      <c r="F6" s="199" t="s">
        <v>52</v>
      </c>
      <c r="G6" s="199">
        <v>30062</v>
      </c>
      <c r="H6" s="197" t="s">
        <v>53</v>
      </c>
      <c r="I6" s="200" t="s">
        <v>54</v>
      </c>
      <c r="J6" s="201">
        <v>157665</v>
      </c>
      <c r="K6" s="23"/>
      <c r="L6" s="300" t="s">
        <v>55</v>
      </c>
      <c r="M6" s="301"/>
      <c r="N6" s="301"/>
      <c r="O6" s="301"/>
      <c r="P6" s="301"/>
      <c r="Q6" s="301"/>
      <c r="R6" s="301"/>
      <c r="S6" s="301"/>
      <c r="T6" s="301"/>
      <c r="U6" s="301"/>
      <c r="V6" s="301"/>
      <c r="W6" s="301"/>
      <c r="X6" s="301"/>
      <c r="Y6" s="301"/>
      <c r="Z6" s="301"/>
      <c r="AA6" s="301"/>
      <c r="AB6" s="301"/>
      <c r="AC6" s="301"/>
      <c r="AD6" s="301"/>
      <c r="AE6" s="302"/>
      <c r="AF6" s="23"/>
      <c r="AG6" s="23"/>
    </row>
    <row r="7" spans="1:33" x14ac:dyDescent="0.25">
      <c r="A7" s="202">
        <v>2</v>
      </c>
      <c r="B7" s="64" t="s">
        <v>56</v>
      </c>
      <c r="C7" s="64" t="s">
        <v>57</v>
      </c>
      <c r="D7" s="64" t="s">
        <v>58</v>
      </c>
      <c r="E7" s="64" t="s">
        <v>51</v>
      </c>
      <c r="F7" s="65" t="s">
        <v>52</v>
      </c>
      <c r="G7" s="65">
        <v>30063</v>
      </c>
      <c r="H7" s="203" t="s">
        <v>59</v>
      </c>
      <c r="I7" s="204" t="s">
        <v>60</v>
      </c>
      <c r="J7" s="205">
        <v>156340</v>
      </c>
      <c r="K7" s="23"/>
      <c r="L7" s="45"/>
      <c r="M7" s="46"/>
      <c r="N7" s="46"/>
      <c r="O7" s="46"/>
      <c r="P7" s="46"/>
      <c r="Q7" s="46"/>
      <c r="R7" s="46"/>
      <c r="S7" s="46"/>
      <c r="T7" s="46"/>
      <c r="U7" s="46"/>
      <c r="V7" s="46"/>
      <c r="W7" s="46"/>
      <c r="X7" s="46"/>
      <c r="Y7" s="46"/>
      <c r="Z7" s="46"/>
      <c r="AA7" s="46"/>
      <c r="AB7" s="46"/>
      <c r="AC7" s="46"/>
      <c r="AD7" s="46"/>
      <c r="AE7" s="47"/>
      <c r="AF7" s="23"/>
      <c r="AG7" s="23"/>
    </row>
    <row r="8" spans="1:33" x14ac:dyDescent="0.25">
      <c r="A8" s="196">
        <v>3</v>
      </c>
      <c r="B8" s="176" t="s">
        <v>61</v>
      </c>
      <c r="C8" s="206" t="s">
        <v>62</v>
      </c>
      <c r="D8" s="176" t="s">
        <v>63</v>
      </c>
      <c r="E8" s="176" t="s">
        <v>51</v>
      </c>
      <c r="F8" s="177" t="s">
        <v>52</v>
      </c>
      <c r="G8" s="177">
        <v>30064</v>
      </c>
      <c r="H8" s="206" t="s">
        <v>64</v>
      </c>
      <c r="I8" s="207" t="s">
        <v>65</v>
      </c>
      <c r="J8" s="208">
        <v>81480</v>
      </c>
      <c r="K8" s="23"/>
      <c r="L8" s="45"/>
      <c r="M8" s="48" t="s">
        <v>39</v>
      </c>
      <c r="N8" s="46"/>
      <c r="O8" s="46"/>
      <c r="P8" s="49" t="str">
        <f>INDEX(Last_Name,MATCH(COUNTA(Last_Name),Number,0))</f>
        <v>Miller</v>
      </c>
      <c r="Q8" s="50"/>
      <c r="R8" s="50"/>
      <c r="S8" s="50"/>
      <c r="T8" s="50"/>
      <c r="U8" s="51"/>
      <c r="V8" s="46"/>
      <c r="W8" s="52" t="s">
        <v>42</v>
      </c>
      <c r="X8" s="46"/>
      <c r="Y8" s="49" t="str">
        <f>INDEX(City,MATCH(COUNTA(Last_Name),Number,0))</f>
        <v>Duluth</v>
      </c>
      <c r="Z8" s="50"/>
      <c r="AA8" s="50"/>
      <c r="AB8" s="50"/>
      <c r="AC8" s="50"/>
      <c r="AD8" s="51"/>
      <c r="AE8" s="47"/>
      <c r="AF8" s="23"/>
      <c r="AG8" s="23"/>
    </row>
    <row r="9" spans="1:33" x14ac:dyDescent="0.25">
      <c r="A9" s="202">
        <v>4</v>
      </c>
      <c r="B9" s="64" t="s">
        <v>66</v>
      </c>
      <c r="C9" s="203" t="s">
        <v>67</v>
      </c>
      <c r="D9" s="64" t="s">
        <v>68</v>
      </c>
      <c r="E9" s="64" t="s">
        <v>51</v>
      </c>
      <c r="F9" s="65" t="s">
        <v>52</v>
      </c>
      <c r="G9" s="65">
        <v>30065</v>
      </c>
      <c r="H9" s="203" t="s">
        <v>69</v>
      </c>
      <c r="I9" s="204" t="s">
        <v>54</v>
      </c>
      <c r="J9" s="205">
        <v>202578</v>
      </c>
      <c r="K9" s="23"/>
      <c r="L9" s="45"/>
      <c r="M9" s="46"/>
      <c r="N9" s="46"/>
      <c r="O9" s="46"/>
      <c r="P9" s="46"/>
      <c r="Q9" s="46"/>
      <c r="R9" s="46"/>
      <c r="S9" s="46"/>
      <c r="T9" s="46"/>
      <c r="U9" s="46"/>
      <c r="V9" s="46"/>
      <c r="W9" s="46"/>
      <c r="X9" s="46"/>
      <c r="Y9" s="46"/>
      <c r="Z9" s="46"/>
      <c r="AA9" s="46"/>
      <c r="AB9" s="46"/>
      <c r="AC9" s="46"/>
      <c r="AD9" s="46"/>
      <c r="AE9" s="47"/>
      <c r="AF9" s="23"/>
      <c r="AG9" s="23"/>
    </row>
    <row r="10" spans="1:33" x14ac:dyDescent="0.25">
      <c r="A10" s="196">
        <v>5</v>
      </c>
      <c r="B10" s="206" t="s">
        <v>70</v>
      </c>
      <c r="C10" s="176" t="s">
        <v>71</v>
      </c>
      <c r="D10" s="176" t="s">
        <v>72</v>
      </c>
      <c r="E10" s="176" t="s">
        <v>51</v>
      </c>
      <c r="F10" s="177" t="s">
        <v>52</v>
      </c>
      <c r="G10" s="177">
        <v>30066</v>
      </c>
      <c r="H10" s="206" t="s">
        <v>73</v>
      </c>
      <c r="I10" s="207" t="s">
        <v>60</v>
      </c>
      <c r="J10" s="208">
        <v>177209</v>
      </c>
      <c r="K10" s="23"/>
      <c r="L10" s="45"/>
      <c r="M10" s="48" t="s">
        <v>40</v>
      </c>
      <c r="N10" s="46"/>
      <c r="O10" s="46"/>
      <c r="P10" s="49" t="str">
        <f>INDEX(First_Name,MATCH(COUNTA(Last_Name),Number,0))</f>
        <v>David</v>
      </c>
      <c r="Q10" s="50"/>
      <c r="R10" s="50"/>
      <c r="S10" s="50"/>
      <c r="T10" s="50"/>
      <c r="U10" s="51"/>
      <c r="V10" s="46"/>
      <c r="W10" s="52" t="s">
        <v>43</v>
      </c>
      <c r="X10" s="46"/>
      <c r="Y10" s="49" t="str">
        <f>INDEX(State,MATCH(COUNTA(Last_Name),Number,0))</f>
        <v>GA</v>
      </c>
      <c r="Z10" s="50"/>
      <c r="AA10" s="50"/>
      <c r="AB10" s="50"/>
      <c r="AC10" s="50"/>
      <c r="AD10" s="51"/>
      <c r="AE10" s="47"/>
      <c r="AF10" s="23"/>
      <c r="AG10" s="23"/>
    </row>
    <row r="11" spans="1:33" x14ac:dyDescent="0.25">
      <c r="A11" s="202">
        <v>6</v>
      </c>
      <c r="B11" s="64" t="s">
        <v>74</v>
      </c>
      <c r="C11" s="64" t="s">
        <v>75</v>
      </c>
      <c r="D11" s="64" t="s">
        <v>76</v>
      </c>
      <c r="E11" s="64" t="s">
        <v>77</v>
      </c>
      <c r="F11" s="65" t="s">
        <v>52</v>
      </c>
      <c r="G11" s="65">
        <v>30092</v>
      </c>
      <c r="H11" s="203" t="s">
        <v>78</v>
      </c>
      <c r="I11" s="204" t="s">
        <v>65</v>
      </c>
      <c r="J11" s="205">
        <v>212254.23</v>
      </c>
      <c r="K11" s="23"/>
      <c r="L11" s="45"/>
      <c r="M11" s="46"/>
      <c r="N11" s="46"/>
      <c r="O11" s="46"/>
      <c r="P11" s="46"/>
      <c r="Q11" s="46"/>
      <c r="R11" s="46"/>
      <c r="S11" s="46"/>
      <c r="T11" s="46"/>
      <c r="U11" s="46"/>
      <c r="V11" s="46"/>
      <c r="W11" s="46"/>
      <c r="X11" s="46"/>
      <c r="Y11" s="46"/>
      <c r="Z11" s="46"/>
      <c r="AA11" s="46"/>
      <c r="AB11" s="46"/>
      <c r="AC11" s="46"/>
      <c r="AD11" s="46"/>
      <c r="AE11" s="47"/>
      <c r="AF11" s="23"/>
      <c r="AG11" s="23"/>
    </row>
    <row r="12" spans="1:33" x14ac:dyDescent="0.25">
      <c r="A12" s="196">
        <v>7</v>
      </c>
      <c r="B12" s="176"/>
      <c r="C12" s="176"/>
      <c r="D12" s="176"/>
      <c r="E12" s="176"/>
      <c r="F12" s="177"/>
      <c r="G12" s="177"/>
      <c r="H12" s="206"/>
      <c r="I12" s="207"/>
      <c r="J12" s="208"/>
      <c r="K12" s="23"/>
      <c r="L12" s="45"/>
      <c r="M12" s="48" t="s">
        <v>41</v>
      </c>
      <c r="N12" s="46"/>
      <c r="O12" s="46"/>
      <c r="P12" s="49" t="str">
        <f>INDEX(Address,MATCH(COUNTA(Last_Name),Number,0))</f>
        <v>333 Bay Bridge Street</v>
      </c>
      <c r="Q12" s="50"/>
      <c r="R12" s="50"/>
      <c r="S12" s="50"/>
      <c r="T12" s="50"/>
      <c r="U12" s="51"/>
      <c r="V12" s="46"/>
      <c r="W12" s="52" t="s">
        <v>44</v>
      </c>
      <c r="X12" s="46"/>
      <c r="Y12" s="49" t="str">
        <f>TEXT(INDEX(Zip,MATCH(COUNTA(Last_Name),Number,0)),0)</f>
        <v>30092</v>
      </c>
      <c r="Z12" s="50"/>
      <c r="AA12" s="50"/>
      <c r="AB12" s="50"/>
      <c r="AC12" s="50"/>
      <c r="AD12" s="51"/>
      <c r="AE12" s="47"/>
      <c r="AF12" s="23"/>
      <c r="AG12" s="23"/>
    </row>
    <row r="13" spans="1:33" x14ac:dyDescent="0.25">
      <c r="A13" s="202">
        <v>8</v>
      </c>
      <c r="B13" s="64"/>
      <c r="C13" s="64"/>
      <c r="D13" s="64"/>
      <c r="E13" s="64"/>
      <c r="F13" s="64"/>
      <c r="G13" s="64"/>
      <c r="H13" s="64"/>
      <c r="I13" s="65"/>
      <c r="J13" s="205"/>
      <c r="K13" s="23"/>
      <c r="L13" s="45"/>
      <c r="M13" s="46"/>
      <c r="N13" s="46"/>
      <c r="O13" s="46"/>
      <c r="P13" s="46"/>
      <c r="Q13" s="46"/>
      <c r="R13" s="46"/>
      <c r="S13" s="46"/>
      <c r="T13" s="46"/>
      <c r="U13" s="46"/>
      <c r="V13" s="46"/>
      <c r="W13" s="46"/>
      <c r="X13" s="46"/>
      <c r="Y13" s="46"/>
      <c r="Z13" s="46"/>
      <c r="AA13" s="46"/>
      <c r="AB13" s="46"/>
      <c r="AC13" s="46"/>
      <c r="AD13" s="46"/>
      <c r="AE13" s="47"/>
      <c r="AF13" s="23"/>
      <c r="AG13" s="23"/>
    </row>
    <row r="14" spans="1:33" x14ac:dyDescent="0.25">
      <c r="A14" s="196">
        <v>9</v>
      </c>
      <c r="B14" s="176"/>
      <c r="C14" s="176"/>
      <c r="D14" s="176"/>
      <c r="E14" s="176"/>
      <c r="F14" s="176"/>
      <c r="G14" s="176"/>
      <c r="H14" s="176"/>
      <c r="I14" s="177"/>
      <c r="J14" s="208"/>
      <c r="K14" s="23"/>
      <c r="L14" s="45"/>
      <c r="M14" s="52" t="s">
        <v>45</v>
      </c>
      <c r="N14" s="46"/>
      <c r="O14" s="46"/>
      <c r="P14" s="49" t="str">
        <f>INDEX(Phone,MATCH(COUNTA(Last_Name),Number,0))</f>
        <v>678.555.4332</v>
      </c>
      <c r="Q14" s="50"/>
      <c r="R14" s="50"/>
      <c r="S14" s="50"/>
      <c r="T14" s="50"/>
      <c r="U14" s="51"/>
      <c r="V14" s="46"/>
      <c r="W14" s="60" t="s">
        <v>99</v>
      </c>
      <c r="X14" s="46"/>
      <c r="Y14" s="49" t="str">
        <f>INDEX(Pension_Plan,MATCH(COUNTA(Last_Name),Number,0))</f>
        <v>Plan C</v>
      </c>
      <c r="Z14" s="50"/>
      <c r="AA14" s="50"/>
      <c r="AB14" s="50"/>
      <c r="AC14" s="50"/>
      <c r="AD14" s="51"/>
      <c r="AE14" s="47"/>
      <c r="AF14" s="23"/>
      <c r="AG14" s="23"/>
    </row>
    <row r="15" spans="1:33" x14ac:dyDescent="0.25">
      <c r="A15" s="202">
        <v>10</v>
      </c>
      <c r="B15" s="64"/>
      <c r="C15" s="64"/>
      <c r="D15" s="64"/>
      <c r="E15" s="64"/>
      <c r="F15" s="64"/>
      <c r="G15" s="64"/>
      <c r="H15" s="64"/>
      <c r="I15" s="65"/>
      <c r="J15" s="64"/>
      <c r="K15" s="23"/>
      <c r="L15" s="45"/>
      <c r="M15" s="46"/>
      <c r="N15" s="46"/>
      <c r="O15" s="46"/>
      <c r="P15" s="46"/>
      <c r="Q15" s="46"/>
      <c r="R15" s="46"/>
      <c r="S15" s="46"/>
      <c r="T15" s="46"/>
      <c r="U15" s="46"/>
      <c r="V15" s="46"/>
      <c r="W15" s="46"/>
      <c r="X15" s="46"/>
      <c r="Y15" s="46"/>
      <c r="Z15" s="46"/>
      <c r="AA15" s="46"/>
      <c r="AB15" s="46"/>
      <c r="AC15" s="46"/>
      <c r="AD15" s="46"/>
      <c r="AE15" s="47"/>
      <c r="AF15" s="23"/>
      <c r="AG15" s="23"/>
    </row>
    <row r="16" spans="1:33" x14ac:dyDescent="0.25">
      <c r="A16" s="196">
        <v>11</v>
      </c>
      <c r="B16" s="176"/>
      <c r="C16" s="176"/>
      <c r="D16" s="176"/>
      <c r="E16" s="176"/>
      <c r="F16" s="176"/>
      <c r="G16" s="176"/>
      <c r="H16" s="176"/>
      <c r="I16" s="177"/>
      <c r="J16" s="176"/>
      <c r="K16" s="23"/>
      <c r="L16" s="45"/>
      <c r="M16" s="52" t="s">
        <v>90</v>
      </c>
      <c r="N16" s="46"/>
      <c r="O16" s="46"/>
      <c r="P16" s="46"/>
      <c r="Q16" s="46"/>
      <c r="R16" s="46"/>
      <c r="S16" s="46"/>
      <c r="T16" s="46"/>
      <c r="U16" s="46"/>
      <c r="V16" s="46"/>
      <c r="W16" s="46"/>
      <c r="X16" s="46"/>
      <c r="Y16" s="49" t="str">
        <f>TEXT(INDEX(Balance,MATCH(COUNTA(Last_Name),Number,0)),"$#,###.##")</f>
        <v>$212,254.23</v>
      </c>
      <c r="Z16" s="50"/>
      <c r="AA16" s="50"/>
      <c r="AB16" s="50"/>
      <c r="AC16" s="50"/>
      <c r="AD16" s="51"/>
      <c r="AE16" s="47"/>
      <c r="AF16" s="23"/>
      <c r="AG16" s="23"/>
    </row>
    <row r="17" spans="1:33" x14ac:dyDescent="0.25">
      <c r="A17" s="202">
        <v>12</v>
      </c>
      <c r="B17" s="64"/>
      <c r="C17" s="64"/>
      <c r="D17" s="64"/>
      <c r="E17" s="64"/>
      <c r="F17" s="64"/>
      <c r="G17" s="64"/>
      <c r="H17" s="64"/>
      <c r="I17" s="65"/>
      <c r="J17" s="64"/>
      <c r="K17" s="23"/>
      <c r="L17" s="45"/>
      <c r="M17" s="46"/>
      <c r="N17" s="46"/>
      <c r="O17" s="46"/>
      <c r="P17" s="46"/>
      <c r="Q17" s="46"/>
      <c r="R17" s="46"/>
      <c r="S17" s="46"/>
      <c r="T17" s="46"/>
      <c r="U17" s="46"/>
      <c r="V17" s="46"/>
      <c r="W17" s="46"/>
      <c r="X17" s="46"/>
      <c r="Y17" s="46"/>
      <c r="Z17" s="46"/>
      <c r="AA17" s="46"/>
      <c r="AB17" s="46"/>
      <c r="AC17" s="46"/>
      <c r="AD17" s="46"/>
      <c r="AE17" s="47"/>
      <c r="AF17" s="23"/>
      <c r="AG17" s="23"/>
    </row>
    <row r="18" spans="1:33" x14ac:dyDescent="0.25">
      <c r="A18" s="196">
        <v>13</v>
      </c>
      <c r="B18" s="176"/>
      <c r="C18" s="176"/>
      <c r="D18" s="176"/>
      <c r="E18" s="176"/>
      <c r="F18" s="176"/>
      <c r="G18" s="176"/>
      <c r="H18" s="176"/>
      <c r="I18" s="177"/>
      <c r="J18" s="176"/>
      <c r="K18" s="23"/>
      <c r="L18" s="303" t="s">
        <v>91</v>
      </c>
      <c r="M18" s="304"/>
      <c r="N18" s="304"/>
      <c r="O18" s="304"/>
      <c r="P18" s="304"/>
      <c r="Q18" s="304"/>
      <c r="R18" s="304"/>
      <c r="S18" s="304"/>
      <c r="T18" s="304"/>
      <c r="U18" s="304"/>
      <c r="V18" s="304"/>
      <c r="W18" s="304"/>
      <c r="X18" s="304"/>
      <c r="Y18" s="304"/>
      <c r="Z18" s="304"/>
      <c r="AA18" s="304"/>
      <c r="AB18" s="304"/>
      <c r="AC18" s="304"/>
      <c r="AD18" s="304"/>
      <c r="AE18" s="305"/>
      <c r="AF18" s="23"/>
      <c r="AG18" s="23"/>
    </row>
    <row r="19" spans="1:33" ht="16.5" thickBot="1" x14ac:dyDescent="0.3">
      <c r="A19" s="202">
        <v>14</v>
      </c>
      <c r="B19" s="64"/>
      <c r="C19" s="64"/>
      <c r="D19" s="64"/>
      <c r="E19" s="64"/>
      <c r="F19" s="64"/>
      <c r="G19" s="64"/>
      <c r="H19" s="64"/>
      <c r="I19" s="65"/>
      <c r="J19" s="64"/>
      <c r="K19" s="23"/>
      <c r="L19" s="61"/>
      <c r="M19" s="62"/>
      <c r="N19" s="62"/>
      <c r="O19" s="62"/>
      <c r="P19" s="62"/>
      <c r="Q19" s="62"/>
      <c r="R19" s="62"/>
      <c r="S19" s="62"/>
      <c r="T19" s="62"/>
      <c r="U19" s="62"/>
      <c r="V19" s="62"/>
      <c r="W19" s="62"/>
      <c r="X19" s="62"/>
      <c r="Y19" s="62"/>
      <c r="Z19" s="62"/>
      <c r="AA19" s="62"/>
      <c r="AB19" s="62"/>
      <c r="AC19" s="62"/>
      <c r="AD19" s="62"/>
      <c r="AE19" s="63"/>
      <c r="AF19" s="23"/>
      <c r="AG19" s="23"/>
    </row>
    <row r="20" spans="1:33" x14ac:dyDescent="0.25">
      <c r="A20" s="196">
        <v>15</v>
      </c>
      <c r="B20" s="176"/>
      <c r="C20" s="176"/>
      <c r="D20" s="176"/>
      <c r="E20" s="176"/>
      <c r="F20" s="176"/>
      <c r="G20" s="176"/>
      <c r="H20" s="176"/>
      <c r="I20" s="177"/>
      <c r="J20" s="176"/>
      <c r="K20" s="23"/>
      <c r="L20" s="23"/>
      <c r="M20" s="23"/>
      <c r="N20" s="23"/>
      <c r="O20" s="23"/>
      <c r="P20" s="23"/>
      <c r="Q20" s="23"/>
      <c r="R20" s="23"/>
      <c r="S20" s="23"/>
      <c r="T20" s="23"/>
      <c r="U20" s="23"/>
      <c r="V20" s="23"/>
      <c r="W20" s="23"/>
      <c r="X20" s="23"/>
      <c r="Y20" s="23"/>
      <c r="Z20" s="23"/>
      <c r="AA20" s="23"/>
      <c r="AB20" s="23"/>
      <c r="AC20" s="23"/>
      <c r="AD20" s="23"/>
      <c r="AE20" s="23"/>
      <c r="AF20" s="23"/>
      <c r="AG20" s="23"/>
    </row>
    <row r="21" spans="1:33" x14ac:dyDescent="0.25">
      <c r="A21" s="202">
        <v>16</v>
      </c>
      <c r="B21" s="64"/>
      <c r="C21" s="64"/>
      <c r="D21" s="64"/>
      <c r="E21" s="64"/>
      <c r="F21" s="64"/>
      <c r="G21" s="64"/>
      <c r="H21" s="64"/>
      <c r="I21" s="65"/>
      <c r="J21" s="64"/>
      <c r="K21" s="23"/>
      <c r="L21" s="23"/>
      <c r="M21" s="23"/>
      <c r="N21" s="23"/>
      <c r="O21" s="23"/>
      <c r="P21" s="23"/>
      <c r="Q21" s="23"/>
      <c r="R21" s="23"/>
      <c r="S21" s="23"/>
      <c r="T21" s="23"/>
      <c r="U21" s="23"/>
      <c r="V21" s="23"/>
      <c r="W21" s="23"/>
      <c r="X21" s="23"/>
      <c r="Y21" s="23"/>
      <c r="Z21" s="23"/>
      <c r="AA21" s="23"/>
      <c r="AB21" s="23"/>
      <c r="AC21" s="23"/>
      <c r="AD21" s="23"/>
      <c r="AE21" s="23"/>
      <c r="AF21" s="23"/>
      <c r="AG21" s="23"/>
    </row>
    <row r="22" spans="1:33" x14ac:dyDescent="0.25">
      <c r="A22" s="196">
        <v>17</v>
      </c>
      <c r="B22" s="176"/>
      <c r="C22" s="176"/>
      <c r="D22" s="176"/>
      <c r="E22" s="176"/>
      <c r="F22" s="176"/>
      <c r="G22" s="176"/>
      <c r="H22" s="176"/>
      <c r="I22" s="177"/>
      <c r="J22" s="176"/>
      <c r="K22" s="23"/>
      <c r="L22" s="23"/>
      <c r="M22" s="23"/>
      <c r="N22" s="23"/>
      <c r="O22" s="23"/>
      <c r="P22" s="23"/>
      <c r="Q22" s="23"/>
      <c r="R22" s="23"/>
      <c r="S22" s="23"/>
      <c r="T22" s="23"/>
      <c r="U22" s="23"/>
      <c r="V22" s="23"/>
      <c r="W22" s="23"/>
      <c r="X22" s="23"/>
      <c r="Y22" s="23"/>
      <c r="Z22" s="23"/>
      <c r="AA22" s="23"/>
      <c r="AB22" s="23"/>
      <c r="AC22" s="23"/>
      <c r="AD22" s="23"/>
      <c r="AE22" s="23"/>
      <c r="AF22" s="23"/>
      <c r="AG22" s="23"/>
    </row>
    <row r="23" spans="1:33" x14ac:dyDescent="0.25">
      <c r="A23" s="202">
        <v>18</v>
      </c>
      <c r="B23" s="64"/>
      <c r="C23" s="64"/>
      <c r="D23" s="64"/>
      <c r="E23" s="64"/>
      <c r="F23" s="64"/>
      <c r="G23" s="64"/>
      <c r="H23" s="64"/>
      <c r="I23" s="65"/>
      <c r="J23" s="64"/>
      <c r="K23" s="23"/>
      <c r="L23" s="23"/>
      <c r="M23" s="23"/>
      <c r="N23" s="23"/>
      <c r="O23" s="23"/>
      <c r="P23" s="23"/>
      <c r="Q23" s="23"/>
      <c r="R23" s="23"/>
      <c r="S23" s="23"/>
      <c r="T23" s="23"/>
      <c r="U23" s="23"/>
      <c r="V23" s="23"/>
      <c r="W23" s="23"/>
      <c r="X23" s="23"/>
      <c r="Y23" s="23"/>
      <c r="Z23" s="23"/>
      <c r="AA23" s="23"/>
      <c r="AB23" s="23"/>
      <c r="AC23" s="23"/>
      <c r="AD23" s="23"/>
      <c r="AE23" s="23"/>
      <c r="AF23" s="23"/>
      <c r="AG23" s="23"/>
    </row>
    <row r="24" spans="1:33" x14ac:dyDescent="0.25">
      <c r="A24" s="196">
        <v>19</v>
      </c>
      <c r="B24" s="176"/>
      <c r="C24" s="176"/>
      <c r="D24" s="176"/>
      <c r="E24" s="176"/>
      <c r="F24" s="176"/>
      <c r="G24" s="176"/>
      <c r="H24" s="176"/>
      <c r="I24" s="177"/>
      <c r="J24" s="176"/>
      <c r="K24" s="23"/>
      <c r="L24" s="23"/>
      <c r="M24" s="23"/>
      <c r="N24" s="23"/>
      <c r="O24" s="23"/>
      <c r="P24" s="23"/>
      <c r="Q24" s="23"/>
      <c r="R24" s="23"/>
      <c r="S24" s="23"/>
      <c r="T24" s="23"/>
      <c r="U24" s="23"/>
      <c r="V24" s="23"/>
      <c r="W24" s="23"/>
      <c r="X24" s="23"/>
      <c r="Y24" s="23"/>
      <c r="Z24" s="23"/>
      <c r="AA24" s="23"/>
      <c r="AB24" s="23"/>
      <c r="AC24" s="23"/>
      <c r="AD24" s="23"/>
      <c r="AE24" s="23"/>
      <c r="AF24" s="23"/>
      <c r="AG24" s="23"/>
    </row>
    <row r="25" spans="1:33" x14ac:dyDescent="0.25">
      <c r="A25" s="202">
        <v>20</v>
      </c>
      <c r="B25" s="64"/>
      <c r="C25" s="64"/>
      <c r="D25" s="64"/>
      <c r="E25" s="64"/>
      <c r="F25" s="64"/>
      <c r="G25" s="64"/>
      <c r="H25" s="64"/>
      <c r="I25" s="65"/>
      <c r="J25" s="64"/>
      <c r="K25" s="23"/>
      <c r="L25" s="23"/>
      <c r="M25" s="23"/>
      <c r="N25" s="23"/>
      <c r="O25" s="23"/>
      <c r="P25" s="23"/>
      <c r="Q25" s="23"/>
      <c r="R25" s="23"/>
      <c r="S25" s="23"/>
      <c r="T25" s="23"/>
      <c r="U25" s="23"/>
      <c r="V25" s="23"/>
      <c r="W25" s="23"/>
      <c r="X25" s="23"/>
      <c r="Y25" s="23"/>
      <c r="Z25" s="23"/>
      <c r="AA25" s="23"/>
      <c r="AB25" s="23"/>
      <c r="AC25" s="23"/>
      <c r="AD25" s="23"/>
      <c r="AE25" s="23"/>
      <c r="AF25" s="23"/>
      <c r="AG25" s="23"/>
    </row>
    <row r="26" spans="1:33" x14ac:dyDescent="0.25">
      <c r="A26" s="196">
        <v>21</v>
      </c>
      <c r="B26" s="176"/>
      <c r="C26" s="176"/>
      <c r="D26" s="176"/>
      <c r="E26" s="176"/>
      <c r="F26" s="176"/>
      <c r="G26" s="176"/>
      <c r="H26" s="176"/>
      <c r="I26" s="177"/>
      <c r="J26" s="176"/>
      <c r="K26" s="23"/>
      <c r="L26" s="23"/>
      <c r="M26" s="23"/>
      <c r="N26" s="23"/>
      <c r="O26" s="23"/>
      <c r="P26" s="23"/>
      <c r="Q26" s="23"/>
      <c r="R26" s="23"/>
      <c r="S26" s="23"/>
      <c r="T26" s="23"/>
      <c r="U26" s="23"/>
      <c r="V26" s="23"/>
      <c r="W26" s="23"/>
      <c r="X26" s="23"/>
      <c r="Y26" s="23"/>
      <c r="Z26" s="23"/>
      <c r="AA26" s="23"/>
      <c r="AB26" s="23"/>
      <c r="AC26" s="23"/>
      <c r="AD26" s="23"/>
      <c r="AE26" s="23"/>
      <c r="AF26" s="23"/>
      <c r="AG26" s="23"/>
    </row>
    <row r="27" spans="1:33" x14ac:dyDescent="0.25">
      <c r="A27" s="202">
        <v>22</v>
      </c>
      <c r="B27" s="64"/>
      <c r="C27" s="64"/>
      <c r="D27" s="64"/>
      <c r="E27" s="64"/>
      <c r="F27" s="64"/>
      <c r="G27" s="64"/>
      <c r="H27" s="64"/>
      <c r="I27" s="65"/>
      <c r="J27" s="64"/>
      <c r="K27" s="23"/>
      <c r="L27" s="23"/>
      <c r="M27" s="23"/>
      <c r="N27" s="23"/>
      <c r="O27" s="23"/>
      <c r="P27" s="23"/>
      <c r="Q27" s="23"/>
      <c r="R27" s="23"/>
      <c r="S27" s="23"/>
      <c r="T27" s="23"/>
      <c r="U27" s="23"/>
      <c r="V27" s="23"/>
      <c r="W27" s="23"/>
      <c r="X27" s="23"/>
      <c r="Y27" s="23"/>
      <c r="Z27" s="23"/>
      <c r="AA27" s="23"/>
      <c r="AB27" s="23"/>
      <c r="AC27" s="23"/>
      <c r="AD27" s="23"/>
      <c r="AE27" s="23"/>
      <c r="AF27" s="23"/>
      <c r="AG27" s="23"/>
    </row>
    <row r="28" spans="1:33" x14ac:dyDescent="0.25">
      <c r="A28" s="196">
        <v>23</v>
      </c>
      <c r="B28" s="176"/>
      <c r="C28" s="176"/>
      <c r="D28" s="176"/>
      <c r="E28" s="176"/>
      <c r="F28" s="176"/>
      <c r="G28" s="176"/>
      <c r="H28" s="176"/>
      <c r="I28" s="177"/>
      <c r="J28" s="176"/>
      <c r="K28" s="23"/>
      <c r="L28" s="23"/>
      <c r="M28" s="23"/>
      <c r="N28" s="23"/>
      <c r="O28" s="23"/>
      <c r="P28" s="23"/>
      <c r="Q28" s="23"/>
      <c r="R28" s="23"/>
      <c r="S28" s="23"/>
      <c r="T28" s="23"/>
      <c r="U28" s="23"/>
      <c r="V28" s="23"/>
      <c r="W28" s="23"/>
      <c r="X28" s="23"/>
      <c r="Y28" s="23"/>
      <c r="Z28" s="23"/>
      <c r="AA28" s="23"/>
      <c r="AB28" s="23"/>
      <c r="AC28" s="23"/>
      <c r="AD28" s="23"/>
      <c r="AE28" s="23"/>
      <c r="AF28" s="23"/>
      <c r="AG28" s="23"/>
    </row>
    <row r="29" spans="1:33" x14ac:dyDescent="0.25">
      <c r="A29" s="202">
        <v>24</v>
      </c>
      <c r="B29" s="64"/>
      <c r="C29" s="64"/>
      <c r="D29" s="64"/>
      <c r="E29" s="64"/>
      <c r="F29" s="64"/>
      <c r="G29" s="64"/>
      <c r="H29" s="64"/>
      <c r="I29" s="65"/>
      <c r="J29" s="64"/>
      <c r="K29" s="23"/>
      <c r="L29" s="23"/>
      <c r="M29" s="23"/>
      <c r="N29" s="23"/>
      <c r="O29" s="23"/>
      <c r="P29" s="23"/>
      <c r="Q29" s="23"/>
      <c r="R29" s="23"/>
      <c r="S29" s="23"/>
      <c r="T29" s="23"/>
      <c r="U29" s="23"/>
      <c r="V29" s="23"/>
      <c r="W29" s="23"/>
      <c r="X29" s="23"/>
      <c r="Y29" s="23"/>
      <c r="Z29" s="23"/>
      <c r="AA29" s="23"/>
      <c r="AB29" s="23"/>
      <c r="AC29" s="23"/>
      <c r="AD29" s="23"/>
      <c r="AE29" s="23"/>
      <c r="AF29" s="23"/>
      <c r="AG29" s="23"/>
    </row>
    <row r="30" spans="1:33" x14ac:dyDescent="0.25">
      <c r="A30" s="196">
        <v>25</v>
      </c>
      <c r="B30" s="176"/>
      <c r="C30" s="176"/>
      <c r="D30" s="176"/>
      <c r="E30" s="176"/>
      <c r="F30" s="176"/>
      <c r="G30" s="176"/>
      <c r="H30" s="176"/>
      <c r="I30" s="177"/>
      <c r="J30" s="176"/>
      <c r="K30" s="23"/>
      <c r="L30" s="23"/>
      <c r="M30" s="23"/>
      <c r="N30" s="23"/>
      <c r="O30" s="23"/>
      <c r="P30" s="23"/>
      <c r="Q30" s="23"/>
      <c r="R30" s="23"/>
      <c r="S30" s="23"/>
      <c r="T30" s="23"/>
      <c r="U30" s="23"/>
      <c r="V30" s="23"/>
      <c r="W30" s="23"/>
      <c r="X30" s="23"/>
      <c r="Y30" s="23"/>
      <c r="Z30" s="23"/>
      <c r="AA30" s="23"/>
      <c r="AB30" s="23"/>
      <c r="AC30" s="23"/>
      <c r="AD30" s="23"/>
      <c r="AE30" s="23"/>
      <c r="AF30" s="23"/>
      <c r="AG30" s="23"/>
    </row>
  </sheetData>
  <mergeCells count="2">
    <mergeCell ref="L6:AE6"/>
    <mergeCell ref="L18:AE18"/>
  </mergeCells>
  <dataValidations count="1">
    <dataValidation type="custom" allowBlank="1" showInputMessage="1" showErrorMessage="1" sqref="P8">
      <formula1>IF(Number&lt;&gt;COUNTA(Last_Name),"Do not skip blank entries!",INDEX(Last_Name,MATCH(COUNTA(Last_Name),Number,0)))</formula1>
    </dataValidation>
  </dataValidations>
  <pageMargins left="0.7" right="0.7" top="0.75" bottom="0.75" header="0.3" footer="0.3"/>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A1:AG31"/>
  <sheetViews>
    <sheetView showGridLines="0" workbookViewId="0">
      <selection activeCell="H28" sqref="H28"/>
    </sheetView>
  </sheetViews>
  <sheetFormatPr defaultRowHeight="15.75" x14ac:dyDescent="0.25"/>
  <cols>
    <col min="1" max="1" width="7.875" bestFit="1" customWidth="1"/>
    <col min="2" max="3" width="10" bestFit="1" customWidth="1"/>
    <col min="4" max="4" width="19" bestFit="1" customWidth="1"/>
    <col min="5" max="5" width="8.375" bestFit="1" customWidth="1"/>
    <col min="6" max="6" width="5.375" bestFit="1" customWidth="1"/>
    <col min="7" max="7" width="5.875" bestFit="1" customWidth="1"/>
    <col min="8" max="8" width="11.875" bestFit="1" customWidth="1"/>
    <col min="9" max="9" width="11.875" customWidth="1"/>
    <col min="10" max="10" width="12.125" bestFit="1" customWidth="1"/>
    <col min="11" max="11" width="3.75" customWidth="1"/>
    <col min="12" max="31" width="3.625" customWidth="1"/>
    <col min="32" max="32" width="3" customWidth="1"/>
  </cols>
  <sheetData>
    <row r="1" spans="1:33" x14ac:dyDescent="0.25">
      <c r="A1" s="16"/>
      <c r="B1" s="16"/>
      <c r="C1" s="16"/>
      <c r="D1" s="16"/>
      <c r="E1" s="16"/>
      <c r="F1" s="16"/>
      <c r="G1" s="16"/>
      <c r="H1" s="16"/>
      <c r="I1" s="16"/>
      <c r="J1" s="16"/>
      <c r="K1" s="16"/>
      <c r="L1" s="16"/>
      <c r="M1" s="16"/>
      <c r="N1" s="16"/>
      <c r="O1" s="16"/>
      <c r="P1" s="209"/>
      <c r="Q1" s="16"/>
      <c r="R1" s="16"/>
      <c r="S1" s="17">
        <f t="shared" ref="S1:AB1" si="0">VLOOKUP(MAX($A$3:$A$148),$A$3:$H$148,2)</f>
        <v>0</v>
      </c>
      <c r="T1" s="17">
        <f t="shared" si="0"/>
        <v>0</v>
      </c>
      <c r="U1" s="17">
        <f t="shared" si="0"/>
        <v>0</v>
      </c>
      <c r="V1" s="17">
        <f t="shared" si="0"/>
        <v>0</v>
      </c>
      <c r="W1" s="17">
        <f t="shared" si="0"/>
        <v>0</v>
      </c>
      <c r="X1" s="17">
        <f t="shared" si="0"/>
        <v>0</v>
      </c>
      <c r="Y1" s="17">
        <f t="shared" si="0"/>
        <v>0</v>
      </c>
      <c r="Z1" s="17">
        <f t="shared" si="0"/>
        <v>0</v>
      </c>
      <c r="AA1" s="17">
        <f t="shared" si="0"/>
        <v>0</v>
      </c>
      <c r="AB1" s="17">
        <f t="shared" si="0"/>
        <v>0</v>
      </c>
      <c r="AC1" s="18"/>
      <c r="AD1" s="18"/>
      <c r="AE1" s="18"/>
      <c r="AF1" s="18"/>
      <c r="AG1" s="18"/>
    </row>
    <row r="2" spans="1:33" ht="16.5" thickBot="1" x14ac:dyDescent="0.3">
      <c r="A2" s="73"/>
      <c r="B2" s="20"/>
      <c r="C2" s="20"/>
      <c r="D2" s="20"/>
      <c r="E2" s="20"/>
      <c r="F2" s="20"/>
      <c r="G2" s="20"/>
      <c r="H2" s="20"/>
      <c r="I2" s="22"/>
      <c r="J2" s="20"/>
      <c r="K2" s="23"/>
      <c r="L2" s="23"/>
      <c r="M2" s="23"/>
      <c r="N2" s="23"/>
      <c r="O2" s="23"/>
      <c r="P2" s="23"/>
      <c r="Q2" s="23"/>
      <c r="R2" s="23"/>
      <c r="S2" s="23"/>
      <c r="T2" s="23"/>
      <c r="U2" s="23"/>
      <c r="V2" s="23"/>
      <c r="W2" s="23"/>
      <c r="X2" s="23"/>
      <c r="Y2" s="23"/>
      <c r="Z2" s="23"/>
      <c r="AA2" s="23"/>
      <c r="AB2" s="23"/>
      <c r="AC2" s="23"/>
      <c r="AD2" s="23"/>
      <c r="AE2" s="23"/>
      <c r="AF2" s="23"/>
      <c r="AG2" s="23"/>
    </row>
    <row r="3" spans="1:33" x14ac:dyDescent="0.25">
      <c r="A3" s="26" t="s">
        <v>38</v>
      </c>
      <c r="B3" s="25" t="s">
        <v>39</v>
      </c>
      <c r="C3" s="25" t="s">
        <v>40</v>
      </c>
      <c r="D3" s="25" t="s">
        <v>41</v>
      </c>
      <c r="E3" s="26" t="s">
        <v>42</v>
      </c>
      <c r="F3" s="26" t="s">
        <v>43</v>
      </c>
      <c r="G3" s="26" t="s">
        <v>44</v>
      </c>
      <c r="H3" s="26" t="s">
        <v>45</v>
      </c>
      <c r="I3" s="26" t="s">
        <v>46</v>
      </c>
      <c r="J3" s="28" t="s">
        <v>47</v>
      </c>
      <c r="K3" s="23"/>
      <c r="L3" s="29"/>
      <c r="M3" s="30"/>
      <c r="N3" s="30"/>
      <c r="O3" s="30"/>
      <c r="P3" s="30"/>
      <c r="Q3" s="30"/>
      <c r="R3" s="30"/>
      <c r="S3" s="30"/>
      <c r="T3" s="30"/>
      <c r="U3" s="30"/>
      <c r="V3" s="30"/>
      <c r="W3" s="30"/>
      <c r="X3" s="30"/>
      <c r="Y3" s="30"/>
      <c r="Z3" s="30"/>
      <c r="AA3" s="30"/>
      <c r="AB3" s="30"/>
      <c r="AC3" s="30"/>
      <c r="AD3" s="30"/>
      <c r="AE3" s="31"/>
      <c r="AF3" s="23"/>
      <c r="AG3" s="23"/>
    </row>
    <row r="4" spans="1:33" x14ac:dyDescent="0.25">
      <c r="A4" s="32">
        <v>1</v>
      </c>
      <c r="B4" s="33" t="s">
        <v>48</v>
      </c>
      <c r="C4" s="34" t="s">
        <v>49</v>
      </c>
      <c r="D4" s="34" t="s">
        <v>50</v>
      </c>
      <c r="E4" s="34" t="s">
        <v>51</v>
      </c>
      <c r="F4" s="35" t="s">
        <v>52</v>
      </c>
      <c r="G4" s="35">
        <v>30062</v>
      </c>
      <c r="H4" s="33" t="s">
        <v>53</v>
      </c>
      <c r="I4" s="37" t="s">
        <v>54</v>
      </c>
      <c r="J4" s="38">
        <v>157665</v>
      </c>
      <c r="K4" s="23"/>
      <c r="L4" s="300" t="s">
        <v>55</v>
      </c>
      <c r="M4" s="301"/>
      <c r="N4" s="301"/>
      <c r="O4" s="301"/>
      <c r="P4" s="301"/>
      <c r="Q4" s="301"/>
      <c r="R4" s="301"/>
      <c r="S4" s="301"/>
      <c r="T4" s="301"/>
      <c r="U4" s="301"/>
      <c r="V4" s="301"/>
      <c r="W4" s="301"/>
      <c r="X4" s="301"/>
      <c r="Y4" s="301"/>
      <c r="Z4" s="301"/>
      <c r="AA4" s="301"/>
      <c r="AB4" s="301"/>
      <c r="AC4" s="301"/>
      <c r="AD4" s="301"/>
      <c r="AE4" s="302"/>
      <c r="AF4" s="23"/>
      <c r="AG4" s="23"/>
    </row>
    <row r="5" spans="1:33" x14ac:dyDescent="0.25">
      <c r="A5" s="32">
        <v>2</v>
      </c>
      <c r="B5" s="33" t="s">
        <v>56</v>
      </c>
      <c r="C5" s="34" t="s">
        <v>57</v>
      </c>
      <c r="D5" s="34" t="s">
        <v>58</v>
      </c>
      <c r="E5" s="34" t="s">
        <v>51</v>
      </c>
      <c r="F5" s="35" t="s">
        <v>52</v>
      </c>
      <c r="G5" s="35">
        <v>30063</v>
      </c>
      <c r="H5" s="33" t="s">
        <v>59</v>
      </c>
      <c r="I5" s="37" t="s">
        <v>60</v>
      </c>
      <c r="J5" s="38">
        <v>156340</v>
      </c>
      <c r="K5" s="23"/>
      <c r="L5" s="45"/>
      <c r="M5" s="46"/>
      <c r="N5" s="46"/>
      <c r="O5" s="46"/>
      <c r="P5" s="46"/>
      <c r="Q5" s="46"/>
      <c r="R5" s="46"/>
      <c r="S5" s="46"/>
      <c r="T5" s="46"/>
      <c r="U5" s="46"/>
      <c r="V5" s="46"/>
      <c r="W5" s="46"/>
      <c r="X5" s="46"/>
      <c r="Y5" s="46"/>
      <c r="Z5" s="46"/>
      <c r="AA5" s="46"/>
      <c r="AB5" s="46"/>
      <c r="AC5" s="46"/>
      <c r="AD5" s="46"/>
      <c r="AE5" s="47"/>
      <c r="AF5" s="23"/>
      <c r="AG5" s="23"/>
    </row>
    <row r="6" spans="1:33" x14ac:dyDescent="0.25">
      <c r="A6" s="32">
        <v>3</v>
      </c>
      <c r="B6" s="33" t="s">
        <v>61</v>
      </c>
      <c r="C6" s="34" t="s">
        <v>62</v>
      </c>
      <c r="D6" s="34" t="s">
        <v>63</v>
      </c>
      <c r="E6" s="34" t="s">
        <v>51</v>
      </c>
      <c r="F6" s="35" t="s">
        <v>52</v>
      </c>
      <c r="G6" s="35">
        <v>30064</v>
      </c>
      <c r="H6" s="33" t="s">
        <v>64</v>
      </c>
      <c r="I6" s="37" t="s">
        <v>65</v>
      </c>
      <c r="J6" s="38">
        <v>81480</v>
      </c>
      <c r="K6" s="23"/>
      <c r="L6" s="45"/>
      <c r="M6" s="48" t="s">
        <v>39</v>
      </c>
      <c r="N6" s="46"/>
      <c r="O6" s="210"/>
      <c r="P6" s="360" t="e">
        <f>IF(ISBLANK(INDEX([1]!Table1[#Data],Record_Count,2)),"",INDEX([1]!Table1[#Data],Record_Count,2))</f>
        <v>#REF!</v>
      </c>
      <c r="Q6" s="361"/>
      <c r="R6" s="361"/>
      <c r="S6" s="361"/>
      <c r="T6" s="361"/>
      <c r="U6" s="362"/>
      <c r="V6" s="210"/>
      <c r="W6" s="211" t="s">
        <v>42</v>
      </c>
      <c r="X6" s="210"/>
      <c r="Y6" s="360" t="e">
        <f>IF(ISBLANK(INDEX([1]!Table1[#Data],Record_Count,5)),"",INDEX([1]!Table1[#Data],Record_Count,5))</f>
        <v>#REF!</v>
      </c>
      <c r="Z6" s="361"/>
      <c r="AA6" s="361"/>
      <c r="AB6" s="361"/>
      <c r="AC6" s="361"/>
      <c r="AD6" s="362"/>
      <c r="AE6" s="47"/>
      <c r="AF6" s="23"/>
      <c r="AG6" s="23"/>
    </row>
    <row r="7" spans="1:33" x14ac:dyDescent="0.25">
      <c r="A7" s="32">
        <v>4</v>
      </c>
      <c r="B7" s="33" t="s">
        <v>66</v>
      </c>
      <c r="C7" s="34" t="s">
        <v>67</v>
      </c>
      <c r="D7" s="34" t="s">
        <v>68</v>
      </c>
      <c r="E7" s="34" t="s">
        <v>51</v>
      </c>
      <c r="F7" s="35" t="s">
        <v>52</v>
      </c>
      <c r="G7" s="35">
        <v>30065</v>
      </c>
      <c r="H7" s="33" t="s">
        <v>69</v>
      </c>
      <c r="I7" s="37" t="s">
        <v>54</v>
      </c>
      <c r="J7" s="38">
        <v>202578</v>
      </c>
      <c r="K7" s="23"/>
      <c r="L7" s="45"/>
      <c r="M7" s="46"/>
      <c r="N7" s="46"/>
      <c r="O7" s="210"/>
      <c r="P7" s="212"/>
      <c r="Q7" s="212"/>
      <c r="R7" s="212"/>
      <c r="S7" s="212"/>
      <c r="T7" s="212"/>
      <c r="U7" s="212"/>
      <c r="V7" s="210"/>
      <c r="W7" s="210"/>
      <c r="X7" s="210"/>
      <c r="Y7" s="212"/>
      <c r="Z7" s="212"/>
      <c r="AA7" s="212"/>
      <c r="AB7" s="212"/>
      <c r="AC7" s="212"/>
      <c r="AD7" s="212"/>
      <c r="AE7" s="47"/>
      <c r="AF7" s="23"/>
      <c r="AG7" s="23"/>
    </row>
    <row r="8" spans="1:33" x14ac:dyDescent="0.25">
      <c r="A8" s="32">
        <v>5</v>
      </c>
      <c r="B8" s="33" t="s">
        <v>70</v>
      </c>
      <c r="C8" s="34" t="s">
        <v>71</v>
      </c>
      <c r="D8" s="34" t="s">
        <v>72</v>
      </c>
      <c r="E8" s="34" t="s">
        <v>51</v>
      </c>
      <c r="F8" s="35" t="s">
        <v>52</v>
      </c>
      <c r="G8" s="35">
        <v>30066</v>
      </c>
      <c r="H8" s="33" t="s">
        <v>73</v>
      </c>
      <c r="I8" s="37" t="s">
        <v>60</v>
      </c>
      <c r="J8" s="38">
        <v>177209</v>
      </c>
      <c r="K8" s="23"/>
      <c r="L8" s="45"/>
      <c r="M8" s="48" t="s">
        <v>40</v>
      </c>
      <c r="N8" s="46"/>
      <c r="O8" s="210"/>
      <c r="P8" s="360" t="e">
        <f>IF(ISBLANK(INDEX([1]!Table1[#Data],Record_Count,3)),"",INDEX([1]!Table1[#Data],Record_Count,3))</f>
        <v>#REF!</v>
      </c>
      <c r="Q8" s="361"/>
      <c r="R8" s="361"/>
      <c r="S8" s="361"/>
      <c r="T8" s="361"/>
      <c r="U8" s="362"/>
      <c r="V8" s="210"/>
      <c r="W8" s="211" t="s">
        <v>43</v>
      </c>
      <c r="X8" s="210"/>
      <c r="Y8" s="360" t="e">
        <f>IF(ISBLANK(INDEX([1]!Table1[#Data],Record_Count,6)),"",INDEX([1]!Table1[#Data],Record_Count,6))</f>
        <v>#REF!</v>
      </c>
      <c r="Z8" s="361"/>
      <c r="AA8" s="361"/>
      <c r="AB8" s="361"/>
      <c r="AC8" s="361"/>
      <c r="AD8" s="362"/>
      <c r="AE8" s="47"/>
      <c r="AF8" s="23"/>
      <c r="AG8" s="23"/>
    </row>
    <row r="9" spans="1:33" x14ac:dyDescent="0.25">
      <c r="A9" s="32">
        <v>6</v>
      </c>
      <c r="B9" s="33" t="s">
        <v>74</v>
      </c>
      <c r="C9" s="34" t="s">
        <v>75</v>
      </c>
      <c r="D9" s="34" t="s">
        <v>76</v>
      </c>
      <c r="E9" s="34" t="s">
        <v>77</v>
      </c>
      <c r="F9" s="35" t="s">
        <v>52</v>
      </c>
      <c r="G9" s="35">
        <v>30092</v>
      </c>
      <c r="H9" s="33" t="s">
        <v>78</v>
      </c>
      <c r="I9" s="37" t="s">
        <v>65</v>
      </c>
      <c r="J9" s="38">
        <v>212254.23</v>
      </c>
      <c r="K9" s="23"/>
      <c r="L9" s="45"/>
      <c r="M9" s="46"/>
      <c r="N9" s="46"/>
      <c r="O9" s="210"/>
      <c r="P9" s="212"/>
      <c r="Q9" s="212"/>
      <c r="R9" s="212"/>
      <c r="S9" s="212"/>
      <c r="T9" s="212"/>
      <c r="U9" s="212"/>
      <c r="V9" s="210"/>
      <c r="W9" s="210"/>
      <c r="X9" s="210"/>
      <c r="Y9" s="212"/>
      <c r="Z9" s="212"/>
      <c r="AA9" s="212"/>
      <c r="AB9" s="212"/>
      <c r="AC9" s="212"/>
      <c r="AD9" s="212"/>
      <c r="AE9" s="47"/>
      <c r="AF9" s="23"/>
      <c r="AG9" s="23"/>
    </row>
    <row r="10" spans="1:33" x14ac:dyDescent="0.25">
      <c r="A10" s="32">
        <v>7</v>
      </c>
      <c r="B10" s="33" t="s">
        <v>79</v>
      </c>
      <c r="C10" s="34" t="s">
        <v>80</v>
      </c>
      <c r="D10" s="34" t="s">
        <v>50</v>
      </c>
      <c r="E10" s="34" t="s">
        <v>81</v>
      </c>
      <c r="F10" s="35" t="s">
        <v>82</v>
      </c>
      <c r="G10" s="35">
        <v>30092</v>
      </c>
      <c r="H10" s="33" t="s">
        <v>53</v>
      </c>
      <c r="I10" s="37" t="s">
        <v>54</v>
      </c>
      <c r="J10" s="38">
        <v>124533.45</v>
      </c>
      <c r="K10" s="23"/>
      <c r="L10" s="45"/>
      <c r="M10" s="48" t="s">
        <v>41</v>
      </c>
      <c r="N10" s="46"/>
      <c r="O10" s="210"/>
      <c r="P10" s="360" t="e">
        <f>IF(ISBLANK(INDEX([1]!Table1[#Data],Record_Count,4)),"",INDEX([1]!Table1[#Data],Record_Count,4))</f>
        <v>#REF!</v>
      </c>
      <c r="Q10" s="361"/>
      <c r="R10" s="361"/>
      <c r="S10" s="361"/>
      <c r="T10" s="361"/>
      <c r="U10" s="362"/>
      <c r="V10" s="210"/>
      <c r="W10" s="211" t="s">
        <v>44</v>
      </c>
      <c r="X10" s="210"/>
      <c r="Y10" s="360" t="e">
        <f>IF(ISBLANK(INDEX([1]!Table1[#Data],Record_Count,7)),"",INDEX([1]!Table1[#Data],Record_Count,7))</f>
        <v>#REF!</v>
      </c>
      <c r="Z10" s="361"/>
      <c r="AA10" s="361"/>
      <c r="AB10" s="361"/>
      <c r="AC10" s="361"/>
      <c r="AD10" s="362"/>
      <c r="AE10" s="47"/>
      <c r="AF10" s="23"/>
      <c r="AG10" s="23"/>
    </row>
    <row r="11" spans="1:33" x14ac:dyDescent="0.25">
      <c r="A11" s="32">
        <v>8</v>
      </c>
      <c r="B11" s="33" t="s">
        <v>230</v>
      </c>
      <c r="C11" s="34" t="s">
        <v>231</v>
      </c>
      <c r="D11" s="34" t="s">
        <v>232</v>
      </c>
      <c r="E11" s="34" t="s">
        <v>51</v>
      </c>
      <c r="F11" s="35" t="s">
        <v>52</v>
      </c>
      <c r="G11" s="35">
        <v>30345</v>
      </c>
      <c r="H11" s="213" t="s">
        <v>233</v>
      </c>
      <c r="I11" s="35" t="s">
        <v>234</v>
      </c>
      <c r="J11" s="38">
        <v>543.21</v>
      </c>
      <c r="K11" s="23"/>
      <c r="L11" s="45"/>
      <c r="M11" s="46"/>
      <c r="N11" s="46"/>
      <c r="O11" s="210"/>
      <c r="P11" s="212"/>
      <c r="Q11" s="212"/>
      <c r="R11" s="212"/>
      <c r="S11" s="212"/>
      <c r="T11" s="212"/>
      <c r="U11" s="212"/>
      <c r="V11" s="210"/>
      <c r="W11" s="210"/>
      <c r="X11" s="210"/>
      <c r="Y11" s="212"/>
      <c r="Z11" s="212"/>
      <c r="AA11" s="212"/>
      <c r="AB11" s="212"/>
      <c r="AC11" s="212"/>
      <c r="AD11" s="212"/>
      <c r="AE11" s="47"/>
      <c r="AF11" s="23"/>
      <c r="AG11" s="23"/>
    </row>
    <row r="12" spans="1:33" x14ac:dyDescent="0.25">
      <c r="A12" s="32">
        <v>9</v>
      </c>
      <c r="B12" s="33"/>
      <c r="C12" s="34"/>
      <c r="D12" s="34"/>
      <c r="E12" s="34"/>
      <c r="F12" s="35"/>
      <c r="G12" s="35"/>
      <c r="H12" s="33"/>
      <c r="I12" s="37"/>
      <c r="J12" s="38"/>
      <c r="K12" s="23"/>
      <c r="L12" s="45"/>
      <c r="M12" s="52" t="s">
        <v>45</v>
      </c>
      <c r="N12" s="46"/>
      <c r="O12" s="210"/>
      <c r="P12" s="360" t="e">
        <f>IF(ISBLANK(INDEX([1]!Table1[#Data],Record_Count,8)),"",INDEX([1]!Table1[#Data],Record_Count,8))</f>
        <v>#REF!</v>
      </c>
      <c r="Q12" s="361"/>
      <c r="R12" s="361"/>
      <c r="S12" s="361"/>
      <c r="T12" s="361"/>
      <c r="U12" s="362"/>
      <c r="V12" s="210"/>
      <c r="W12" s="214" t="s">
        <v>99</v>
      </c>
      <c r="X12" s="210"/>
      <c r="Y12" s="360" t="e">
        <f>IF(ISBLANK(INDEX([1]!Table1[#Data],Record_Count,9)),"",INDEX([1]!Table1[#Data],Record_Count,9))</f>
        <v>#REF!</v>
      </c>
      <c r="Z12" s="361"/>
      <c r="AA12" s="361"/>
      <c r="AB12" s="361"/>
      <c r="AC12" s="361"/>
      <c r="AD12" s="362"/>
      <c r="AE12" s="47"/>
      <c r="AF12" s="23"/>
      <c r="AG12" s="23"/>
    </row>
    <row r="13" spans="1:33" x14ac:dyDescent="0.25">
      <c r="A13" s="32">
        <v>10</v>
      </c>
      <c r="B13" s="33"/>
      <c r="C13" s="34"/>
      <c r="D13" s="34"/>
      <c r="E13" s="34"/>
      <c r="F13" s="35"/>
      <c r="G13" s="35"/>
      <c r="H13" s="33"/>
      <c r="I13" s="37"/>
      <c r="J13" s="38"/>
      <c r="K13" s="23"/>
      <c r="L13" s="45"/>
      <c r="M13" s="46"/>
      <c r="N13" s="46"/>
      <c r="O13" s="210"/>
      <c r="P13" s="210"/>
      <c r="Q13" s="210"/>
      <c r="R13" s="210"/>
      <c r="S13" s="210"/>
      <c r="T13" s="210"/>
      <c r="U13" s="210"/>
      <c r="V13" s="210"/>
      <c r="W13" s="210"/>
      <c r="X13" s="210"/>
      <c r="Y13" s="212"/>
      <c r="Z13" s="212"/>
      <c r="AA13" s="212"/>
      <c r="AB13" s="212"/>
      <c r="AC13" s="212"/>
      <c r="AD13" s="212"/>
      <c r="AE13" s="47"/>
      <c r="AF13" s="23"/>
      <c r="AG13" s="23"/>
    </row>
    <row r="14" spans="1:33" x14ac:dyDescent="0.25">
      <c r="A14" s="32">
        <v>11</v>
      </c>
      <c r="B14" s="33"/>
      <c r="C14" s="34"/>
      <c r="D14" s="34"/>
      <c r="E14" s="34"/>
      <c r="F14" s="35"/>
      <c r="G14" s="35"/>
      <c r="H14" s="33"/>
      <c r="I14" s="37"/>
      <c r="J14" s="38"/>
      <c r="K14" s="23"/>
      <c r="L14" s="45"/>
      <c r="M14" s="52" t="s">
        <v>90</v>
      </c>
      <c r="N14" s="46"/>
      <c r="O14" s="210"/>
      <c r="P14" s="210"/>
      <c r="Q14" s="210"/>
      <c r="R14" s="210"/>
      <c r="S14" s="210"/>
      <c r="T14" s="210"/>
      <c r="U14" s="210"/>
      <c r="V14" s="210"/>
      <c r="W14" s="210"/>
      <c r="X14" s="210"/>
      <c r="Y14" s="360" t="e">
        <f>TEXT(INDEX([1]!Table1[#Data],Record_Count,10),"$#,###.##")</f>
        <v>#REF!</v>
      </c>
      <c r="Z14" s="361"/>
      <c r="AA14" s="361"/>
      <c r="AB14" s="361"/>
      <c r="AC14" s="361"/>
      <c r="AD14" s="362"/>
      <c r="AE14" s="47"/>
      <c r="AF14" s="23"/>
      <c r="AG14" s="23"/>
    </row>
    <row r="15" spans="1:33" x14ac:dyDescent="0.25">
      <c r="A15" s="32">
        <v>12</v>
      </c>
      <c r="B15" s="33"/>
      <c r="C15" s="34"/>
      <c r="D15" s="34"/>
      <c r="E15" s="34"/>
      <c r="F15" s="35"/>
      <c r="G15" s="35"/>
      <c r="H15" s="33"/>
      <c r="I15" s="37"/>
      <c r="J15" s="38"/>
      <c r="K15" s="23"/>
      <c r="L15" s="45"/>
      <c r="M15" s="46"/>
      <c r="N15" s="46"/>
      <c r="O15" s="46"/>
      <c r="P15" s="46"/>
      <c r="Q15" s="46"/>
      <c r="R15" s="46"/>
      <c r="S15" s="46"/>
      <c r="T15" s="46"/>
      <c r="U15" s="46"/>
      <c r="V15" s="46"/>
      <c r="W15" s="46"/>
      <c r="X15" s="46"/>
      <c r="Y15" s="46"/>
      <c r="Z15" s="46"/>
      <c r="AA15" s="46"/>
      <c r="AB15" s="46"/>
      <c r="AC15" s="46"/>
      <c r="AD15" s="46"/>
      <c r="AE15" s="47"/>
      <c r="AF15" s="23"/>
      <c r="AG15" s="23"/>
    </row>
    <row r="16" spans="1:33" x14ac:dyDescent="0.25">
      <c r="A16" s="32">
        <v>13</v>
      </c>
      <c r="B16" s="33"/>
      <c r="C16" s="34"/>
      <c r="D16" s="34"/>
      <c r="E16" s="34"/>
      <c r="F16" s="35"/>
      <c r="G16" s="35"/>
      <c r="H16" s="33"/>
      <c r="I16" s="37"/>
      <c r="J16" s="38"/>
      <c r="K16" s="23"/>
      <c r="L16" s="303" t="s">
        <v>91</v>
      </c>
      <c r="M16" s="304"/>
      <c r="N16" s="304"/>
      <c r="O16" s="304"/>
      <c r="P16" s="304"/>
      <c r="Q16" s="304"/>
      <c r="R16" s="304"/>
      <c r="S16" s="304"/>
      <c r="T16" s="304"/>
      <c r="U16" s="304"/>
      <c r="V16" s="304"/>
      <c r="W16" s="304"/>
      <c r="X16" s="304"/>
      <c r="Y16" s="304"/>
      <c r="Z16" s="304"/>
      <c r="AA16" s="304"/>
      <c r="AB16" s="304"/>
      <c r="AC16" s="304"/>
      <c r="AD16" s="304"/>
      <c r="AE16" s="305"/>
      <c r="AF16" s="23"/>
      <c r="AG16" s="23"/>
    </row>
    <row r="17" spans="1:33" ht="16.5" thickBot="1" x14ac:dyDescent="0.3">
      <c r="A17" s="32">
        <v>14</v>
      </c>
      <c r="B17" s="33"/>
      <c r="C17" s="34"/>
      <c r="D17" s="34"/>
      <c r="E17" s="34"/>
      <c r="F17" s="35"/>
      <c r="G17" s="35"/>
      <c r="H17" s="33"/>
      <c r="I17" s="37"/>
      <c r="J17" s="38"/>
      <c r="K17" s="23"/>
      <c r="L17" s="61"/>
      <c r="M17" s="62"/>
      <c r="N17" s="62"/>
      <c r="O17" s="62"/>
      <c r="P17" s="62"/>
      <c r="Q17" s="62"/>
      <c r="R17" s="62"/>
      <c r="S17" s="62"/>
      <c r="T17" s="62"/>
      <c r="U17" s="62"/>
      <c r="V17" s="62"/>
      <c r="W17" s="62"/>
      <c r="X17" s="62"/>
      <c r="Y17" s="62"/>
      <c r="Z17" s="62"/>
      <c r="AA17" s="62"/>
      <c r="AB17" s="62"/>
      <c r="AC17" s="62"/>
      <c r="AD17" s="62"/>
      <c r="AE17" s="63"/>
      <c r="AF17" s="23"/>
      <c r="AG17" s="23"/>
    </row>
    <row r="18" spans="1:33" x14ac:dyDescent="0.25">
      <c r="A18" s="32">
        <v>15</v>
      </c>
      <c r="B18" s="33"/>
      <c r="C18" s="34"/>
      <c r="D18" s="34"/>
      <c r="E18" s="34"/>
      <c r="F18" s="35"/>
      <c r="G18" s="35"/>
      <c r="H18" s="33"/>
      <c r="I18" s="37"/>
      <c r="J18" s="38"/>
      <c r="K18" s="23"/>
      <c r="L18" s="23"/>
      <c r="M18" s="23"/>
      <c r="N18" s="23"/>
      <c r="O18" s="23"/>
      <c r="P18" s="23"/>
      <c r="Q18" s="23"/>
      <c r="R18" s="23"/>
      <c r="S18" s="23"/>
      <c r="T18" s="23"/>
      <c r="U18" s="23"/>
      <c r="V18" s="23"/>
      <c r="W18" s="23"/>
      <c r="X18" s="23"/>
      <c r="Y18" s="23"/>
      <c r="Z18" s="23"/>
      <c r="AA18" s="23"/>
      <c r="AB18" s="23"/>
      <c r="AC18" s="23"/>
      <c r="AD18" s="23"/>
      <c r="AE18" s="23"/>
      <c r="AF18" s="23"/>
      <c r="AG18" s="23"/>
    </row>
    <row r="19" spans="1:33" x14ac:dyDescent="0.25">
      <c r="A19" s="32">
        <v>16</v>
      </c>
      <c r="B19" s="33"/>
      <c r="C19" s="34"/>
      <c r="D19" s="34"/>
      <c r="E19" s="34"/>
      <c r="F19" s="35"/>
      <c r="G19" s="35"/>
      <c r="H19" s="33"/>
      <c r="I19" s="37"/>
      <c r="J19" s="38"/>
      <c r="K19" s="23"/>
      <c r="L19" s="23"/>
      <c r="M19" s="23"/>
      <c r="N19" s="23"/>
      <c r="O19" s="23"/>
      <c r="P19" s="23"/>
      <c r="Q19" s="23"/>
      <c r="R19" s="23"/>
      <c r="S19" s="23"/>
      <c r="T19" s="23"/>
      <c r="U19" s="23"/>
      <c r="V19" s="23"/>
      <c r="W19" s="23"/>
      <c r="X19" s="23"/>
      <c r="Y19" s="23"/>
      <c r="Z19" s="23"/>
      <c r="AA19" s="23"/>
      <c r="AB19" s="23"/>
      <c r="AC19" s="23"/>
      <c r="AD19" s="23"/>
      <c r="AE19" s="23"/>
      <c r="AF19" s="23"/>
      <c r="AG19" s="23"/>
    </row>
    <row r="20" spans="1:33" x14ac:dyDescent="0.25">
      <c r="A20" s="32">
        <v>17</v>
      </c>
      <c r="B20" s="33"/>
      <c r="C20" s="34"/>
      <c r="D20" s="34"/>
      <c r="E20" s="34"/>
      <c r="F20" s="35"/>
      <c r="G20" s="35"/>
      <c r="H20" s="33"/>
      <c r="I20" s="37"/>
      <c r="J20" s="38"/>
      <c r="K20" s="23"/>
      <c r="L20" s="23"/>
      <c r="M20" s="23"/>
      <c r="N20" s="23"/>
      <c r="O20" s="23"/>
      <c r="P20" s="23"/>
      <c r="Q20" s="23"/>
      <c r="R20" s="23"/>
      <c r="S20" s="23"/>
      <c r="T20" s="23"/>
      <c r="U20" s="23"/>
      <c r="V20" s="23"/>
      <c r="W20" s="23"/>
      <c r="X20" s="23"/>
      <c r="Y20" s="23"/>
      <c r="Z20" s="23"/>
      <c r="AA20" s="23"/>
      <c r="AB20" s="23"/>
      <c r="AC20" s="23"/>
      <c r="AD20" s="23"/>
      <c r="AE20" s="23"/>
      <c r="AF20" s="23"/>
      <c r="AG20" s="23"/>
    </row>
    <row r="21" spans="1:33" x14ac:dyDescent="0.25">
      <c r="A21" s="32">
        <v>18</v>
      </c>
      <c r="B21" s="33"/>
      <c r="C21" s="34"/>
      <c r="D21" s="34"/>
      <c r="E21" s="34"/>
      <c r="F21" s="35"/>
      <c r="G21" s="35"/>
      <c r="H21" s="33"/>
      <c r="I21" s="37"/>
      <c r="J21" s="38"/>
      <c r="K21" s="23"/>
      <c r="L21" s="23"/>
      <c r="M21" s="23"/>
      <c r="N21" s="23"/>
      <c r="O21" s="23"/>
      <c r="P21" s="23"/>
      <c r="Q21" s="23"/>
      <c r="R21" s="23"/>
      <c r="S21" s="23"/>
      <c r="T21" s="23"/>
      <c r="U21" s="23"/>
      <c r="V21" s="23"/>
      <c r="W21" s="23"/>
      <c r="X21" s="23"/>
      <c r="Y21" s="23"/>
      <c r="Z21" s="23"/>
      <c r="AA21" s="23"/>
      <c r="AB21" s="23"/>
      <c r="AC21" s="23"/>
      <c r="AD21" s="23"/>
      <c r="AE21" s="23"/>
      <c r="AF21" s="23"/>
      <c r="AG21" s="23"/>
    </row>
    <row r="22" spans="1:33" x14ac:dyDescent="0.25">
      <c r="A22" s="32">
        <v>19</v>
      </c>
      <c r="B22" s="33"/>
      <c r="C22" s="34"/>
      <c r="D22" s="34"/>
      <c r="E22" s="34"/>
      <c r="F22" s="35"/>
      <c r="G22" s="35"/>
      <c r="H22" s="33"/>
      <c r="I22" s="37"/>
      <c r="J22" s="38"/>
      <c r="K22" s="23"/>
      <c r="L22" s="23"/>
      <c r="M22" s="23"/>
      <c r="N22" s="23"/>
      <c r="O22" s="23"/>
      <c r="P22" s="23"/>
      <c r="Q22" s="23"/>
      <c r="R22" s="23"/>
      <c r="S22" s="23"/>
      <c r="T22" s="23"/>
      <c r="U22" s="23"/>
      <c r="V22" s="23"/>
      <c r="W22" s="23"/>
      <c r="X22" s="23"/>
      <c r="Y22" s="23"/>
      <c r="Z22" s="23"/>
      <c r="AA22" s="23"/>
      <c r="AB22" s="23"/>
      <c r="AC22" s="23"/>
      <c r="AD22" s="23"/>
      <c r="AE22" s="23"/>
      <c r="AF22" s="23"/>
      <c r="AG22" s="23"/>
    </row>
    <row r="23" spans="1:33" x14ac:dyDescent="0.25">
      <c r="A23" s="32">
        <v>20</v>
      </c>
      <c r="B23" s="33"/>
      <c r="C23" s="34"/>
      <c r="D23" s="34"/>
      <c r="E23" s="34"/>
      <c r="F23" s="35"/>
      <c r="G23" s="35"/>
      <c r="H23" s="33"/>
      <c r="I23" s="37"/>
      <c r="J23" s="38"/>
      <c r="K23" s="23"/>
      <c r="L23" s="23"/>
      <c r="M23" s="23"/>
      <c r="N23" s="23"/>
      <c r="O23" s="23"/>
      <c r="P23" s="23"/>
      <c r="Q23" s="23"/>
      <c r="R23" s="23"/>
      <c r="S23" s="23"/>
      <c r="T23" s="23"/>
      <c r="U23" s="23"/>
      <c r="V23" s="23"/>
      <c r="W23" s="23"/>
      <c r="X23" s="23"/>
      <c r="Y23" s="23"/>
      <c r="Z23" s="23"/>
      <c r="AA23" s="23"/>
      <c r="AB23" s="23"/>
      <c r="AC23" s="23"/>
      <c r="AD23" s="23"/>
      <c r="AE23" s="23"/>
      <c r="AF23" s="23"/>
      <c r="AG23" s="23"/>
    </row>
    <row r="24" spans="1:33" x14ac:dyDescent="0.25">
      <c r="A24" s="32">
        <v>21</v>
      </c>
      <c r="B24" s="33"/>
      <c r="C24" s="34"/>
      <c r="D24" s="34"/>
      <c r="E24" s="34"/>
      <c r="F24" s="35"/>
      <c r="G24" s="35"/>
      <c r="H24" s="33"/>
      <c r="I24" s="37"/>
      <c r="J24" s="38"/>
      <c r="K24" s="23"/>
      <c r="L24" s="23"/>
      <c r="M24" s="23"/>
      <c r="N24" s="23"/>
      <c r="O24" s="23"/>
      <c r="P24" s="23"/>
      <c r="Q24" s="23"/>
      <c r="R24" s="23"/>
      <c r="S24" s="23"/>
      <c r="T24" s="23"/>
      <c r="U24" s="23"/>
      <c r="V24" s="23"/>
      <c r="W24" s="23"/>
      <c r="X24" s="23"/>
      <c r="Y24" s="23"/>
      <c r="Z24" s="23"/>
      <c r="AA24" s="23"/>
      <c r="AB24" s="23"/>
      <c r="AC24" s="23"/>
      <c r="AD24" s="23"/>
      <c r="AE24" s="23"/>
      <c r="AF24" s="23"/>
      <c r="AG24" s="23"/>
    </row>
    <row r="25" spans="1:33" x14ac:dyDescent="0.25">
      <c r="A25" s="32">
        <v>22</v>
      </c>
      <c r="B25" s="33"/>
      <c r="C25" s="34"/>
      <c r="D25" s="34"/>
      <c r="E25" s="34"/>
      <c r="F25" s="35"/>
      <c r="G25" s="35"/>
      <c r="H25" s="33"/>
      <c r="I25" s="37"/>
      <c r="J25" s="38"/>
      <c r="K25" s="23"/>
      <c r="L25" s="23"/>
      <c r="M25" s="23"/>
      <c r="N25" s="23"/>
      <c r="O25" s="23"/>
      <c r="P25" s="23"/>
      <c r="Q25" s="23"/>
      <c r="R25" s="23"/>
      <c r="S25" s="23"/>
      <c r="T25" s="23"/>
      <c r="U25" s="23"/>
      <c r="V25" s="23"/>
      <c r="W25" s="23"/>
      <c r="X25" s="23"/>
      <c r="Y25" s="23"/>
      <c r="Z25" s="23"/>
      <c r="AA25" s="23"/>
      <c r="AB25" s="23"/>
      <c r="AC25" s="23"/>
      <c r="AD25" s="23"/>
      <c r="AE25" s="23"/>
      <c r="AF25" s="23"/>
      <c r="AG25" s="23"/>
    </row>
    <row r="26" spans="1:33" x14ac:dyDescent="0.25">
      <c r="A26" s="32">
        <v>23</v>
      </c>
      <c r="B26" s="33"/>
      <c r="C26" s="34"/>
      <c r="D26" s="34"/>
      <c r="E26" s="34"/>
      <c r="F26" s="35"/>
      <c r="G26" s="35"/>
      <c r="H26" s="33"/>
      <c r="I26" s="37"/>
      <c r="J26" s="38"/>
      <c r="K26" s="23"/>
      <c r="L26" s="23"/>
      <c r="M26" s="23"/>
      <c r="N26" s="23"/>
      <c r="O26" s="23"/>
      <c r="P26" s="23"/>
      <c r="Q26" s="23"/>
      <c r="R26" s="23"/>
      <c r="S26" s="23"/>
      <c r="T26" s="23"/>
      <c r="U26" s="23"/>
      <c r="V26" s="23"/>
      <c r="W26" s="23"/>
      <c r="X26" s="23"/>
      <c r="Y26" s="23"/>
      <c r="Z26" s="23"/>
      <c r="AA26" s="23"/>
      <c r="AB26" s="23"/>
      <c r="AC26" s="23"/>
      <c r="AD26" s="23"/>
      <c r="AE26" s="23"/>
      <c r="AF26" s="23"/>
      <c r="AG26" s="23"/>
    </row>
    <row r="27" spans="1:33" x14ac:dyDescent="0.25">
      <c r="A27" s="32">
        <v>24</v>
      </c>
      <c r="B27" s="33"/>
      <c r="C27" s="34"/>
      <c r="D27" s="34"/>
      <c r="E27" s="34"/>
      <c r="F27" s="35"/>
      <c r="G27" s="35"/>
      <c r="H27" s="33"/>
      <c r="I27" s="37"/>
      <c r="J27" s="38"/>
      <c r="K27" s="23"/>
      <c r="L27" s="23"/>
      <c r="M27" s="23"/>
      <c r="N27" s="23"/>
      <c r="O27" s="23"/>
      <c r="P27" s="23"/>
      <c r="Q27" s="23"/>
      <c r="R27" s="23"/>
      <c r="S27" s="23"/>
      <c r="T27" s="23"/>
      <c r="U27" s="23"/>
      <c r="V27" s="23"/>
      <c r="W27" s="23"/>
      <c r="X27" s="23"/>
      <c r="Y27" s="23"/>
      <c r="Z27" s="23"/>
      <c r="AA27" s="23"/>
      <c r="AB27" s="23"/>
      <c r="AC27" s="23"/>
      <c r="AD27" s="23"/>
      <c r="AE27" s="23"/>
      <c r="AF27" s="23"/>
      <c r="AG27" s="23"/>
    </row>
    <row r="28" spans="1:33" x14ac:dyDescent="0.25">
      <c r="A28" s="32">
        <v>25</v>
      </c>
      <c r="B28" s="33"/>
      <c r="C28" s="34"/>
      <c r="D28" s="34"/>
      <c r="E28" s="34"/>
      <c r="F28" s="35"/>
      <c r="G28" s="35"/>
      <c r="H28" s="33"/>
      <c r="I28" s="37"/>
      <c r="J28" s="38"/>
      <c r="K28" s="23"/>
      <c r="L28" s="23"/>
      <c r="M28" s="23"/>
      <c r="N28" s="363"/>
      <c r="O28" s="363"/>
      <c r="P28" s="363"/>
      <c r="Q28" s="363"/>
      <c r="R28" s="363"/>
      <c r="S28" s="363"/>
      <c r="T28" s="363"/>
      <c r="U28" s="363"/>
      <c r="V28" s="363"/>
      <c r="W28" s="363"/>
      <c r="X28" s="363"/>
      <c r="Y28" s="363"/>
      <c r="Z28" s="363"/>
      <c r="AA28" s="363"/>
      <c r="AB28" s="363"/>
      <c r="AC28" s="363"/>
      <c r="AD28" s="363"/>
      <c r="AE28" s="363"/>
      <c r="AF28" s="23"/>
      <c r="AG28" s="23"/>
    </row>
    <row r="31" spans="1:33" x14ac:dyDescent="0.25">
      <c r="C31" s="270" t="s">
        <v>454</v>
      </c>
    </row>
  </sheetData>
  <mergeCells count="12">
    <mergeCell ref="P12:U12"/>
    <mergeCell ref="Y12:AD12"/>
    <mergeCell ref="Y14:AD14"/>
    <mergeCell ref="L16:AE16"/>
    <mergeCell ref="N28:AE28"/>
    <mergeCell ref="P10:U10"/>
    <mergeCell ref="Y10:AD10"/>
    <mergeCell ref="L4:AE4"/>
    <mergeCell ref="P6:U6"/>
    <mergeCell ref="Y6:AD6"/>
    <mergeCell ref="P8:U8"/>
    <mergeCell ref="Y8:AD8"/>
  </mergeCells>
  <pageMargins left="0.7" right="0.7" top="0.75" bottom="0.75" header="0.3" footer="0.3"/>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AG28"/>
  <sheetViews>
    <sheetView showGridLines="0" workbookViewId="0"/>
  </sheetViews>
  <sheetFormatPr defaultRowHeight="15.75" x14ac:dyDescent="0.25"/>
  <cols>
    <col min="1" max="1" width="7.875" bestFit="1" customWidth="1"/>
    <col min="2" max="3" width="10" bestFit="1" customWidth="1"/>
    <col min="4" max="4" width="19" bestFit="1" customWidth="1"/>
    <col min="5" max="5" width="8.375" bestFit="1" customWidth="1"/>
    <col min="6" max="6" width="5.375" bestFit="1" customWidth="1"/>
    <col min="7" max="7" width="5.875" bestFit="1" customWidth="1"/>
    <col min="8" max="8" width="11.875" bestFit="1" customWidth="1"/>
    <col min="9" max="9" width="11.875" customWidth="1"/>
    <col min="10" max="10" width="12.125" bestFit="1" customWidth="1"/>
    <col min="11" max="11" width="3.75" customWidth="1"/>
    <col min="12" max="31" width="3.625" customWidth="1"/>
    <col min="32" max="32" width="3" customWidth="1"/>
  </cols>
  <sheetData>
    <row r="1" spans="1:33" x14ac:dyDescent="0.25">
      <c r="A1" s="16"/>
      <c r="B1" s="16"/>
      <c r="C1" s="16"/>
      <c r="D1" s="16"/>
      <c r="E1" s="16"/>
      <c r="F1" s="16"/>
      <c r="G1" s="16"/>
      <c r="H1" s="16"/>
      <c r="I1" s="16"/>
      <c r="J1" s="216"/>
      <c r="K1" s="16"/>
      <c r="L1" s="16"/>
      <c r="M1" s="16"/>
      <c r="N1" s="16"/>
      <c r="O1" s="16"/>
      <c r="P1" s="16"/>
      <c r="Q1" s="16"/>
      <c r="R1" s="16"/>
      <c r="S1" s="17">
        <f t="shared" ref="S1:AB1" si="0">VLOOKUP(MAX($A$3:$A$147),$A$3:$H$147,2)</f>
        <v>0</v>
      </c>
      <c r="T1" s="17">
        <f t="shared" si="0"/>
        <v>0</v>
      </c>
      <c r="U1" s="17">
        <f t="shared" si="0"/>
        <v>0</v>
      </c>
      <c r="V1" s="17">
        <f t="shared" si="0"/>
        <v>0</v>
      </c>
      <c r="W1" s="17">
        <f t="shared" si="0"/>
        <v>0</v>
      </c>
      <c r="X1" s="17">
        <f t="shared" si="0"/>
        <v>0</v>
      </c>
      <c r="Y1" s="17">
        <f t="shared" si="0"/>
        <v>0</v>
      </c>
      <c r="Z1" s="17">
        <f t="shared" si="0"/>
        <v>0</v>
      </c>
      <c r="AA1" s="17">
        <f t="shared" si="0"/>
        <v>0</v>
      </c>
      <c r="AB1" s="17">
        <f t="shared" si="0"/>
        <v>0</v>
      </c>
      <c r="AC1" s="18"/>
      <c r="AD1" s="18"/>
      <c r="AE1" s="18"/>
      <c r="AF1" s="18"/>
      <c r="AG1" s="18"/>
    </row>
    <row r="2" spans="1:33" ht="16.5" thickBot="1" x14ac:dyDescent="0.3">
      <c r="A2" s="73"/>
      <c r="B2" s="20"/>
      <c r="C2" s="20"/>
      <c r="D2" s="20"/>
      <c r="E2" s="20"/>
      <c r="F2" s="20"/>
      <c r="G2" s="20"/>
      <c r="H2" s="20"/>
      <c r="I2" s="22"/>
      <c r="J2" s="217"/>
      <c r="K2" s="23"/>
      <c r="L2" s="23"/>
      <c r="M2" s="23"/>
      <c r="N2" s="23"/>
      <c r="O2" s="23"/>
      <c r="P2" s="23"/>
      <c r="Q2" s="23"/>
      <c r="R2" s="23"/>
      <c r="S2" s="23"/>
      <c r="T2" s="23"/>
      <c r="U2" s="23"/>
      <c r="V2" s="23"/>
      <c r="W2" s="23"/>
      <c r="X2" s="23"/>
      <c r="Y2" s="23"/>
      <c r="Z2" s="23"/>
      <c r="AA2" s="23"/>
      <c r="AB2" s="23"/>
      <c r="AC2" s="23"/>
      <c r="AD2" s="23"/>
      <c r="AE2" s="23"/>
      <c r="AF2" s="23"/>
      <c r="AG2" s="23"/>
    </row>
    <row r="3" spans="1:33" x14ac:dyDescent="0.25">
      <c r="A3" s="68" t="s">
        <v>38</v>
      </c>
      <c r="B3" s="69" t="s">
        <v>39</v>
      </c>
      <c r="C3" s="69" t="s">
        <v>40</v>
      </c>
      <c r="D3" s="69" t="s">
        <v>41</v>
      </c>
      <c r="E3" s="68" t="s">
        <v>42</v>
      </c>
      <c r="F3" s="68" t="s">
        <v>43</v>
      </c>
      <c r="G3" s="68" t="s">
        <v>44</v>
      </c>
      <c r="H3" s="68" t="s">
        <v>45</v>
      </c>
      <c r="I3" s="68" t="s">
        <v>46</v>
      </c>
      <c r="J3" s="218" t="s">
        <v>47</v>
      </c>
      <c r="K3" s="23"/>
      <c r="L3" s="29"/>
      <c r="M3" s="30"/>
      <c r="N3" s="30"/>
      <c r="O3" s="30"/>
      <c r="P3" s="30"/>
      <c r="Q3" s="30"/>
      <c r="R3" s="30"/>
      <c r="S3" s="30"/>
      <c r="T3" s="30"/>
      <c r="U3" s="30"/>
      <c r="V3" s="30"/>
      <c r="W3" s="30"/>
      <c r="X3" s="30"/>
      <c r="Y3" s="30"/>
      <c r="Z3" s="30"/>
      <c r="AA3" s="30"/>
      <c r="AB3" s="30"/>
      <c r="AC3" s="30"/>
      <c r="AD3" s="30"/>
      <c r="AE3" s="31"/>
      <c r="AF3" s="23"/>
      <c r="AG3" s="23"/>
    </row>
    <row r="4" spans="1:33" x14ac:dyDescent="0.25">
      <c r="A4" s="32">
        <v>1</v>
      </c>
      <c r="B4" s="33" t="s">
        <v>48</v>
      </c>
      <c r="C4" s="34" t="s">
        <v>49</v>
      </c>
      <c r="D4" s="34" t="s">
        <v>50</v>
      </c>
      <c r="E4" s="34" t="s">
        <v>51</v>
      </c>
      <c r="F4" s="35" t="s">
        <v>52</v>
      </c>
      <c r="G4" s="35">
        <v>30062</v>
      </c>
      <c r="H4" s="33" t="s">
        <v>53</v>
      </c>
      <c r="I4" s="37" t="s">
        <v>54</v>
      </c>
      <c r="J4" s="219">
        <v>157665</v>
      </c>
      <c r="K4" s="23"/>
      <c r="L4" s="300" t="s">
        <v>55</v>
      </c>
      <c r="M4" s="301"/>
      <c r="N4" s="301"/>
      <c r="O4" s="301"/>
      <c r="P4" s="301"/>
      <c r="Q4" s="301"/>
      <c r="R4" s="301"/>
      <c r="S4" s="301"/>
      <c r="T4" s="301"/>
      <c r="U4" s="301"/>
      <c r="V4" s="301"/>
      <c r="W4" s="301"/>
      <c r="X4" s="301"/>
      <c r="Y4" s="301"/>
      <c r="Z4" s="301"/>
      <c r="AA4" s="301"/>
      <c r="AB4" s="301"/>
      <c r="AC4" s="301"/>
      <c r="AD4" s="301"/>
      <c r="AE4" s="302"/>
      <c r="AF4" s="23"/>
      <c r="AG4" s="23"/>
    </row>
    <row r="5" spans="1:33" x14ac:dyDescent="0.25">
      <c r="A5" s="32">
        <v>2</v>
      </c>
      <c r="B5" s="39" t="s">
        <v>56</v>
      </c>
      <c r="C5" s="39" t="s">
        <v>57</v>
      </c>
      <c r="D5" s="39" t="s">
        <v>58</v>
      </c>
      <c r="E5" s="39" t="s">
        <v>51</v>
      </c>
      <c r="F5" s="40" t="s">
        <v>52</v>
      </c>
      <c r="G5" s="40">
        <v>30063</v>
      </c>
      <c r="H5" s="42" t="s">
        <v>59</v>
      </c>
      <c r="I5" s="43" t="s">
        <v>60</v>
      </c>
      <c r="J5" s="220">
        <v>156340</v>
      </c>
      <c r="K5" s="23"/>
      <c r="L5" s="45"/>
      <c r="M5" s="46"/>
      <c r="N5" s="46"/>
      <c r="O5" s="46"/>
      <c r="P5" s="46"/>
      <c r="Q5" s="46"/>
      <c r="R5" s="46"/>
      <c r="S5" s="46"/>
      <c r="T5" s="46"/>
      <c r="U5" s="46"/>
      <c r="V5" s="46"/>
      <c r="W5" s="46"/>
      <c r="X5" s="46"/>
      <c r="Y5" s="46"/>
      <c r="Z5" s="46"/>
      <c r="AA5" s="46"/>
      <c r="AB5" s="46"/>
      <c r="AC5" s="46"/>
      <c r="AD5" s="46"/>
      <c r="AE5" s="47"/>
      <c r="AF5" s="23"/>
      <c r="AG5" s="23"/>
    </row>
    <row r="6" spans="1:33" x14ac:dyDescent="0.25">
      <c r="A6" s="32">
        <v>3</v>
      </c>
      <c r="B6" s="39" t="s">
        <v>61</v>
      </c>
      <c r="C6" s="42" t="s">
        <v>62</v>
      </c>
      <c r="D6" s="39" t="s">
        <v>63</v>
      </c>
      <c r="E6" s="39" t="s">
        <v>51</v>
      </c>
      <c r="F6" s="40" t="s">
        <v>52</v>
      </c>
      <c r="G6" s="40">
        <v>30064</v>
      </c>
      <c r="H6" s="42" t="s">
        <v>64</v>
      </c>
      <c r="I6" s="43" t="s">
        <v>65</v>
      </c>
      <c r="J6" s="220">
        <v>81480</v>
      </c>
      <c r="K6" s="23"/>
      <c r="L6" s="45"/>
      <c r="M6" s="48" t="s">
        <v>39</v>
      </c>
      <c r="N6" s="46"/>
      <c r="O6" s="46"/>
      <c r="P6" s="49" t="str">
        <f ca="1">OFFSET($A$1,COUNTA($B:$B)+1,1)</f>
        <v>Davison</v>
      </c>
      <c r="Q6" s="49"/>
      <c r="R6" s="50"/>
      <c r="S6" s="50"/>
      <c r="T6" s="50"/>
      <c r="U6" s="51"/>
      <c r="V6" s="46"/>
      <c r="W6" s="52" t="s">
        <v>42</v>
      </c>
      <c r="X6" s="46"/>
      <c r="Y6" s="49" t="str">
        <f ca="1">IF(OFFSET($A$1,COUNTA($B:$B)+1,4)="","No Data",OFFSET($A$1,COUNTA($B:$B)+1,4))</f>
        <v>Anywhere</v>
      </c>
      <c r="Z6" s="50"/>
      <c r="AA6" s="50"/>
      <c r="AB6" s="50"/>
      <c r="AC6" s="50"/>
      <c r="AD6" s="51"/>
      <c r="AE6" s="47"/>
      <c r="AF6" s="23"/>
      <c r="AG6" s="23"/>
    </row>
    <row r="7" spans="1:33" x14ac:dyDescent="0.25">
      <c r="A7" s="32">
        <v>4</v>
      </c>
      <c r="B7" s="39" t="s">
        <v>66</v>
      </c>
      <c r="C7" s="42" t="s">
        <v>67</v>
      </c>
      <c r="D7" s="39" t="s">
        <v>68</v>
      </c>
      <c r="E7" s="39" t="s">
        <v>51</v>
      </c>
      <c r="F7" s="40" t="s">
        <v>52</v>
      </c>
      <c r="G7" s="40">
        <v>30065</v>
      </c>
      <c r="H7" s="42" t="s">
        <v>69</v>
      </c>
      <c r="I7" s="43" t="s">
        <v>54</v>
      </c>
      <c r="J7" s="220">
        <v>202578</v>
      </c>
      <c r="K7" s="23"/>
      <c r="L7" s="45"/>
      <c r="M7" s="46"/>
      <c r="N7" s="46"/>
      <c r="O7" s="46"/>
      <c r="P7" s="46"/>
      <c r="Q7" s="46"/>
      <c r="R7" s="46"/>
      <c r="S7" s="46"/>
      <c r="T7" s="46"/>
      <c r="U7" s="46"/>
      <c r="V7" s="46"/>
      <c r="W7" s="46"/>
      <c r="X7" s="46"/>
      <c r="Y7" s="46"/>
      <c r="Z7" s="46"/>
      <c r="AA7" s="46"/>
      <c r="AB7" s="46"/>
      <c r="AC7" s="46"/>
      <c r="AD7" s="46"/>
      <c r="AE7" s="47"/>
      <c r="AF7" s="23"/>
      <c r="AG7" s="23"/>
    </row>
    <row r="8" spans="1:33" x14ac:dyDescent="0.25">
      <c r="A8" s="32">
        <v>5</v>
      </c>
      <c r="B8" s="42" t="s">
        <v>70</v>
      </c>
      <c r="C8" s="39" t="s">
        <v>71</v>
      </c>
      <c r="D8" s="39" t="s">
        <v>72</v>
      </c>
      <c r="E8" s="39" t="s">
        <v>51</v>
      </c>
      <c r="F8" s="40" t="s">
        <v>52</v>
      </c>
      <c r="G8" s="40">
        <v>30066</v>
      </c>
      <c r="H8" s="42" t="s">
        <v>73</v>
      </c>
      <c r="I8" s="43" t="s">
        <v>60</v>
      </c>
      <c r="J8" s="220">
        <v>177209</v>
      </c>
      <c r="K8" s="23"/>
      <c r="L8" s="45"/>
      <c r="M8" s="48" t="s">
        <v>40</v>
      </c>
      <c r="N8" s="46"/>
      <c r="O8" s="46"/>
      <c r="P8" s="49" t="str">
        <f ca="1">IF(OFFSET($A$1,COUNTA($B:$B)+1,2)="","No Data",OFFSET($A$1,COUNTA($B:$B)+1,2))</f>
        <v>Charles</v>
      </c>
      <c r="Q8" s="50"/>
      <c r="R8" s="50"/>
      <c r="S8" s="50"/>
      <c r="T8" s="50"/>
      <c r="U8" s="51"/>
      <c r="V8" s="46"/>
      <c r="W8" s="52" t="s">
        <v>43</v>
      </c>
      <c r="X8" s="46"/>
      <c r="Y8" s="49" t="str">
        <f ca="1">IF(OFFSET($A$1,COUNTA($B:$B)+1,5)="","No Data",OFFSET($A$1,COUNTA($B:$B)+1,5))</f>
        <v>GA</v>
      </c>
      <c r="Z8" s="50"/>
      <c r="AA8" s="50"/>
      <c r="AB8" s="50"/>
      <c r="AC8" s="50"/>
      <c r="AD8" s="51"/>
      <c r="AE8" s="47"/>
      <c r="AF8" s="23"/>
      <c r="AG8" s="23"/>
    </row>
    <row r="9" spans="1:33" x14ac:dyDescent="0.25">
      <c r="A9" s="32">
        <v>6</v>
      </c>
      <c r="B9" s="39" t="s">
        <v>74</v>
      </c>
      <c r="C9" s="39" t="s">
        <v>75</v>
      </c>
      <c r="D9" s="39" t="s">
        <v>76</v>
      </c>
      <c r="E9" s="39" t="s">
        <v>77</v>
      </c>
      <c r="F9" s="40" t="s">
        <v>52</v>
      </c>
      <c r="G9" s="40">
        <v>30092</v>
      </c>
      <c r="H9" s="42" t="s">
        <v>78</v>
      </c>
      <c r="I9" s="43" t="s">
        <v>65</v>
      </c>
      <c r="J9" s="220">
        <v>212254.23</v>
      </c>
      <c r="K9" s="23"/>
      <c r="L9" s="45"/>
      <c r="M9" s="46"/>
      <c r="N9" s="46"/>
      <c r="O9" s="46"/>
      <c r="P9" s="46"/>
      <c r="Q9" s="46"/>
      <c r="R9" s="46"/>
      <c r="S9" s="46"/>
      <c r="T9" s="46"/>
      <c r="U9" s="46"/>
      <c r="V9" s="46"/>
      <c r="W9" s="46"/>
      <c r="X9" s="46"/>
      <c r="Y9" s="46"/>
      <c r="Z9" s="46"/>
      <c r="AA9" s="46"/>
      <c r="AB9" s="46"/>
      <c r="AC9" s="46"/>
      <c r="AD9" s="46"/>
      <c r="AE9" s="47"/>
      <c r="AF9" s="23"/>
      <c r="AG9" s="23"/>
    </row>
    <row r="10" spans="1:33" x14ac:dyDescent="0.25">
      <c r="A10" s="32">
        <v>7</v>
      </c>
      <c r="B10" s="39" t="s">
        <v>79</v>
      </c>
      <c r="C10" s="39" t="s">
        <v>80</v>
      </c>
      <c r="D10" s="39" t="s">
        <v>50</v>
      </c>
      <c r="E10" s="39" t="s">
        <v>81</v>
      </c>
      <c r="F10" s="40" t="s">
        <v>82</v>
      </c>
      <c r="G10" s="40">
        <v>30092</v>
      </c>
      <c r="H10" s="42" t="s">
        <v>53</v>
      </c>
      <c r="I10" s="43" t="s">
        <v>54</v>
      </c>
      <c r="J10" s="220">
        <v>124533.45</v>
      </c>
      <c r="K10" s="23"/>
      <c r="L10" s="45"/>
      <c r="M10" s="48" t="s">
        <v>41</v>
      </c>
      <c r="N10" s="46"/>
      <c r="O10" s="46"/>
      <c r="P10" s="49" t="str">
        <f ca="1">IF(OFFSET($A$1,COUNTA($B:$B)+1,3)="","No Data",OFFSET($A$1,COUNTA($B:$B)+1,3))</f>
        <v>123 Penny Lane</v>
      </c>
      <c r="Q10" s="50"/>
      <c r="R10" s="50"/>
      <c r="S10" s="50"/>
      <c r="T10" s="50"/>
      <c r="U10" s="51"/>
      <c r="V10" s="46"/>
      <c r="W10" s="52" t="s">
        <v>44</v>
      </c>
      <c r="X10" s="46"/>
      <c r="Y10" s="306">
        <f ca="1">IF(OFFSET($A$1,COUNTA($B:$B)+1,6)="","No Data",OFFSET($A$1,COUNTA($B:$B)+1,6))</f>
        <v>30092</v>
      </c>
      <c r="Z10" s="314"/>
      <c r="AA10" s="314"/>
      <c r="AB10" s="314"/>
      <c r="AC10" s="314"/>
      <c r="AD10" s="315"/>
      <c r="AE10" s="47"/>
      <c r="AF10" s="23"/>
      <c r="AG10" s="23"/>
    </row>
    <row r="11" spans="1:33" x14ac:dyDescent="0.25">
      <c r="A11" s="32">
        <v>8</v>
      </c>
      <c r="B11" s="39" t="s">
        <v>238</v>
      </c>
      <c r="C11" s="39" t="s">
        <v>239</v>
      </c>
      <c r="D11" s="39" t="s">
        <v>240</v>
      </c>
      <c r="E11" s="39" t="s">
        <v>241</v>
      </c>
      <c r="F11" s="39" t="s">
        <v>52</v>
      </c>
      <c r="G11" s="39">
        <v>30092</v>
      </c>
      <c r="H11" s="39" t="s">
        <v>242</v>
      </c>
      <c r="I11" s="40" t="s">
        <v>98</v>
      </c>
      <c r="J11" s="221">
        <v>100000</v>
      </c>
      <c r="K11" s="23"/>
      <c r="L11" s="45"/>
      <c r="M11" s="46"/>
      <c r="N11" s="46"/>
      <c r="O11" s="46"/>
      <c r="P11" s="46"/>
      <c r="Q11" s="46"/>
      <c r="R11" s="46"/>
      <c r="S11" s="46"/>
      <c r="T11" s="46"/>
      <c r="U11" s="46"/>
      <c r="V11" s="46"/>
      <c r="W11" s="46"/>
      <c r="X11" s="46"/>
      <c r="Y11" s="46"/>
      <c r="Z11" s="46"/>
      <c r="AA11" s="46"/>
      <c r="AB11" s="46"/>
      <c r="AC11" s="46"/>
      <c r="AD11" s="46"/>
      <c r="AE11" s="47"/>
      <c r="AF11" s="23"/>
      <c r="AG11" s="23"/>
    </row>
    <row r="12" spans="1:33" x14ac:dyDescent="0.25">
      <c r="A12" s="32">
        <v>9</v>
      </c>
      <c r="B12" s="39"/>
      <c r="C12" s="39"/>
      <c r="D12" s="39"/>
      <c r="E12" s="39"/>
      <c r="F12" s="39"/>
      <c r="G12" s="39"/>
      <c r="H12" s="39"/>
      <c r="I12" s="40"/>
      <c r="J12" s="221"/>
      <c r="K12" s="23"/>
      <c r="L12" s="45"/>
      <c r="M12" s="52" t="s">
        <v>45</v>
      </c>
      <c r="N12" s="46"/>
      <c r="O12" s="46"/>
      <c r="P12" s="49" t="str">
        <f ca="1">IF(OFFSET($A$1,COUNTA($B:$B)+1,7)="","No Data",OFFSET($A$1,COUNTA($B:$B)+1,7))</f>
        <v>770.555.1212</v>
      </c>
      <c r="Q12" s="50"/>
      <c r="R12" s="50"/>
      <c r="S12" s="50"/>
      <c r="T12" s="50"/>
      <c r="U12" s="51"/>
      <c r="V12" s="46"/>
      <c r="W12" s="60" t="s">
        <v>99</v>
      </c>
      <c r="X12" s="46"/>
      <c r="Y12" s="49" t="str">
        <f ca="1">IF(OFFSET($A$1,COUNTA($B:$B)+1,8)="","No Data",OFFSET($A$1,COUNTA($B:$B)+1,8))</f>
        <v>Plan D</v>
      </c>
      <c r="Z12" s="50"/>
      <c r="AA12" s="50"/>
      <c r="AB12" s="50"/>
      <c r="AC12" s="50"/>
      <c r="AD12" s="51"/>
      <c r="AE12" s="47"/>
      <c r="AF12" s="23"/>
      <c r="AG12" s="23"/>
    </row>
    <row r="13" spans="1:33" x14ac:dyDescent="0.25">
      <c r="A13" s="32">
        <v>10</v>
      </c>
      <c r="B13" s="39"/>
      <c r="C13" s="39"/>
      <c r="D13" s="39"/>
      <c r="E13" s="39"/>
      <c r="F13" s="39"/>
      <c r="G13" s="39"/>
      <c r="H13" s="39"/>
      <c r="I13" s="40"/>
      <c r="J13" s="221"/>
      <c r="K13" s="23"/>
      <c r="L13" s="45"/>
      <c r="M13" s="46"/>
      <c r="N13" s="46"/>
      <c r="O13" s="46"/>
      <c r="P13" s="46"/>
      <c r="Q13" s="46"/>
      <c r="R13" s="46"/>
      <c r="S13" s="46"/>
      <c r="T13" s="46"/>
      <c r="U13" s="46"/>
      <c r="V13" s="46"/>
      <c r="W13" s="46"/>
      <c r="X13" s="46"/>
      <c r="Y13" s="46"/>
      <c r="Z13" s="46"/>
      <c r="AA13" s="46"/>
      <c r="AB13" s="46"/>
      <c r="AC13" s="46"/>
      <c r="AD13" s="46"/>
      <c r="AE13" s="47"/>
      <c r="AF13" s="23"/>
      <c r="AG13" s="23"/>
    </row>
    <row r="14" spans="1:33" x14ac:dyDescent="0.25">
      <c r="A14" s="32">
        <v>11</v>
      </c>
      <c r="B14" s="39"/>
      <c r="C14" s="39"/>
      <c r="D14" s="39"/>
      <c r="E14" s="39"/>
      <c r="F14" s="39"/>
      <c r="G14" s="39"/>
      <c r="H14" s="39"/>
      <c r="I14" s="40"/>
      <c r="J14" s="221"/>
      <c r="K14" s="23"/>
      <c r="L14" s="45"/>
      <c r="M14" s="52" t="s">
        <v>90</v>
      </c>
      <c r="N14" s="46"/>
      <c r="O14" s="46"/>
      <c r="P14" s="46"/>
      <c r="Q14" s="46"/>
      <c r="R14" s="46"/>
      <c r="S14" s="46"/>
      <c r="T14" s="46"/>
      <c r="U14" s="46"/>
      <c r="V14" s="46"/>
      <c r="W14" s="46"/>
      <c r="X14" s="46"/>
      <c r="Y14" s="364">
        <f ca="1">IF(OFFSET($A$1,COUNTA($B:$B)+1,9)="","No Data",OFFSET($A$1,COUNTA($B:$B)+1,9))</f>
        <v>100000</v>
      </c>
      <c r="Z14" s="319"/>
      <c r="AA14" s="319"/>
      <c r="AB14" s="319"/>
      <c r="AC14" s="319"/>
      <c r="AD14" s="320"/>
      <c r="AE14" s="47"/>
      <c r="AF14" s="23"/>
      <c r="AG14" s="23"/>
    </row>
    <row r="15" spans="1:33" x14ac:dyDescent="0.25">
      <c r="A15" s="32">
        <v>12</v>
      </c>
      <c r="B15" s="39"/>
      <c r="C15" s="39"/>
      <c r="D15" s="39"/>
      <c r="E15" s="39"/>
      <c r="F15" s="39"/>
      <c r="G15" s="39"/>
      <c r="H15" s="39"/>
      <c r="I15" s="40"/>
      <c r="J15" s="221"/>
      <c r="K15" s="23"/>
      <c r="L15" s="45"/>
      <c r="M15" s="46"/>
      <c r="N15" s="46"/>
      <c r="O15" s="46"/>
      <c r="P15" s="46"/>
      <c r="Q15" s="46"/>
      <c r="R15" s="46"/>
      <c r="S15" s="46"/>
      <c r="T15" s="46"/>
      <c r="U15" s="46"/>
      <c r="V15" s="46"/>
      <c r="W15" s="46"/>
      <c r="X15" s="46"/>
      <c r="Y15" s="46"/>
      <c r="Z15" s="46"/>
      <c r="AA15" s="46"/>
      <c r="AB15" s="46"/>
      <c r="AC15" s="46"/>
      <c r="AD15" s="46"/>
      <c r="AE15" s="47"/>
      <c r="AF15" s="23"/>
      <c r="AG15" s="23"/>
    </row>
    <row r="16" spans="1:33" x14ac:dyDescent="0.25">
      <c r="A16" s="32">
        <v>13</v>
      </c>
      <c r="B16" s="39"/>
      <c r="C16" s="39"/>
      <c r="D16" s="39"/>
      <c r="E16" s="39"/>
      <c r="F16" s="39"/>
      <c r="G16" s="39"/>
      <c r="H16" s="39"/>
      <c r="I16" s="40"/>
      <c r="J16" s="221"/>
      <c r="K16" s="23"/>
      <c r="L16" s="303" t="s">
        <v>91</v>
      </c>
      <c r="M16" s="304"/>
      <c r="N16" s="304"/>
      <c r="O16" s="304"/>
      <c r="P16" s="304"/>
      <c r="Q16" s="304"/>
      <c r="R16" s="304"/>
      <c r="S16" s="304"/>
      <c r="T16" s="304"/>
      <c r="U16" s="304"/>
      <c r="V16" s="304"/>
      <c r="W16" s="304"/>
      <c r="X16" s="304"/>
      <c r="Y16" s="304"/>
      <c r="Z16" s="304"/>
      <c r="AA16" s="304"/>
      <c r="AB16" s="304"/>
      <c r="AC16" s="304"/>
      <c r="AD16" s="304"/>
      <c r="AE16" s="305"/>
      <c r="AF16" s="23"/>
      <c r="AG16" s="23"/>
    </row>
    <row r="17" spans="1:33" ht="16.5" thickBot="1" x14ac:dyDescent="0.3">
      <c r="A17" s="32">
        <v>14</v>
      </c>
      <c r="B17" s="39"/>
      <c r="C17" s="39"/>
      <c r="D17" s="39"/>
      <c r="E17" s="39"/>
      <c r="F17" s="39"/>
      <c r="G17" s="39"/>
      <c r="H17" s="39"/>
      <c r="I17" s="40"/>
      <c r="J17" s="221"/>
      <c r="K17" s="23"/>
      <c r="L17" s="61"/>
      <c r="M17" s="62"/>
      <c r="N17" s="62"/>
      <c r="O17" s="62"/>
      <c r="P17" s="62"/>
      <c r="Q17" s="62"/>
      <c r="R17" s="62"/>
      <c r="S17" s="62"/>
      <c r="T17" s="62"/>
      <c r="U17" s="62"/>
      <c r="V17" s="62"/>
      <c r="W17" s="62"/>
      <c r="X17" s="62"/>
      <c r="Y17" s="62"/>
      <c r="Z17" s="62"/>
      <c r="AA17" s="62"/>
      <c r="AB17" s="62"/>
      <c r="AC17" s="62"/>
      <c r="AD17" s="62"/>
      <c r="AE17" s="63"/>
      <c r="AF17" s="23"/>
      <c r="AG17" s="23"/>
    </row>
    <row r="18" spans="1:33" x14ac:dyDescent="0.25">
      <c r="A18" s="32">
        <v>15</v>
      </c>
      <c r="B18" s="39"/>
      <c r="C18" s="39"/>
      <c r="D18" s="39"/>
      <c r="E18" s="39"/>
      <c r="F18" s="39"/>
      <c r="G18" s="39"/>
      <c r="H18" s="39"/>
      <c r="I18" s="40"/>
      <c r="J18" s="221"/>
      <c r="K18" s="23"/>
      <c r="L18" s="23"/>
      <c r="M18" s="23"/>
      <c r="N18" s="23"/>
      <c r="O18" s="23"/>
      <c r="P18" s="23"/>
      <c r="Q18" s="23"/>
      <c r="R18" s="23"/>
      <c r="S18" s="23"/>
      <c r="T18" s="23"/>
      <c r="U18" s="23"/>
      <c r="V18" s="23"/>
      <c r="W18" s="23"/>
      <c r="X18" s="23"/>
      <c r="Y18" s="23"/>
      <c r="Z18" s="23"/>
      <c r="AA18" s="23"/>
      <c r="AB18" s="23"/>
      <c r="AC18" s="23"/>
      <c r="AD18" s="23"/>
      <c r="AE18" s="23"/>
      <c r="AF18" s="23"/>
      <c r="AG18" s="23"/>
    </row>
    <row r="19" spans="1:33" x14ac:dyDescent="0.25">
      <c r="A19" s="32">
        <v>16</v>
      </c>
      <c r="B19" s="39"/>
      <c r="C19" s="39"/>
      <c r="D19" s="39"/>
      <c r="E19" s="39"/>
      <c r="F19" s="39"/>
      <c r="G19" s="39"/>
      <c r="H19" s="39"/>
      <c r="I19" s="40"/>
      <c r="J19" s="221"/>
      <c r="K19" s="23"/>
      <c r="L19" s="23"/>
      <c r="M19" s="23"/>
      <c r="N19" s="23"/>
      <c r="O19" s="23"/>
      <c r="P19" s="23"/>
      <c r="Q19" s="23"/>
      <c r="R19" s="23"/>
      <c r="S19" s="23"/>
      <c r="T19" s="23"/>
      <c r="U19" s="23"/>
      <c r="V19" s="23"/>
      <c r="W19" s="23"/>
      <c r="X19" s="23"/>
      <c r="Y19" s="23"/>
      <c r="Z19" s="23"/>
      <c r="AA19" s="23"/>
      <c r="AB19" s="23"/>
      <c r="AC19" s="23"/>
      <c r="AD19" s="23"/>
      <c r="AE19" s="23"/>
      <c r="AF19" s="23"/>
      <c r="AG19" s="23"/>
    </row>
    <row r="20" spans="1:33" x14ac:dyDescent="0.25">
      <c r="A20" s="32">
        <v>17</v>
      </c>
      <c r="B20" s="39"/>
      <c r="C20" s="39"/>
      <c r="D20" s="39"/>
      <c r="E20" s="39"/>
      <c r="F20" s="39"/>
      <c r="G20" s="39"/>
      <c r="H20" s="39"/>
      <c r="I20" s="40"/>
      <c r="J20" s="221"/>
      <c r="K20" s="23"/>
      <c r="L20" s="23"/>
      <c r="M20" s="23"/>
      <c r="N20" s="23"/>
      <c r="O20" s="23"/>
      <c r="P20" s="23"/>
      <c r="Q20" s="23"/>
      <c r="R20" s="23"/>
      <c r="S20" s="23"/>
      <c r="T20" s="23"/>
      <c r="U20" s="23"/>
      <c r="V20" s="23"/>
      <c r="W20" s="23"/>
      <c r="X20" s="23"/>
      <c r="Y20" s="23"/>
      <c r="Z20" s="23"/>
      <c r="AA20" s="23"/>
      <c r="AB20" s="23"/>
      <c r="AC20" s="23"/>
      <c r="AD20" s="23"/>
      <c r="AE20" s="23"/>
      <c r="AF20" s="23"/>
      <c r="AG20" s="23"/>
    </row>
    <row r="21" spans="1:33" x14ac:dyDescent="0.25">
      <c r="A21" s="32">
        <v>18</v>
      </c>
      <c r="B21" s="39"/>
      <c r="C21" s="39"/>
      <c r="D21" s="39"/>
      <c r="E21" s="39"/>
      <c r="F21" s="39"/>
      <c r="G21" s="39"/>
      <c r="H21" s="39"/>
      <c r="I21" s="40"/>
      <c r="J21" s="221"/>
      <c r="K21" s="23"/>
      <c r="L21" s="23"/>
      <c r="M21" s="23"/>
      <c r="N21" s="23"/>
      <c r="O21" s="23"/>
      <c r="P21" s="23"/>
      <c r="Q21" s="23"/>
      <c r="R21" s="23"/>
      <c r="S21" s="23"/>
      <c r="T21" s="23"/>
      <c r="U21" s="23"/>
      <c r="V21" s="23"/>
      <c r="W21" s="23"/>
      <c r="X21" s="23"/>
      <c r="Y21" s="23"/>
      <c r="Z21" s="23"/>
      <c r="AA21" s="23"/>
      <c r="AB21" s="23"/>
      <c r="AC21" s="23"/>
      <c r="AD21" s="23"/>
      <c r="AE21" s="23"/>
      <c r="AF21" s="23"/>
      <c r="AG21" s="23"/>
    </row>
    <row r="22" spans="1:33" x14ac:dyDescent="0.25">
      <c r="A22" s="32">
        <v>19</v>
      </c>
      <c r="B22" s="39"/>
      <c r="C22" s="39"/>
      <c r="D22" s="39"/>
      <c r="E22" s="39"/>
      <c r="F22" s="39"/>
      <c r="G22" s="39"/>
      <c r="H22" s="39"/>
      <c r="I22" s="40"/>
      <c r="J22" s="221"/>
      <c r="K22" s="23"/>
      <c r="L22" s="23"/>
      <c r="M22" s="23"/>
      <c r="N22" s="23"/>
      <c r="O22" s="23"/>
      <c r="P22" s="23"/>
      <c r="Q22" s="23"/>
      <c r="R22" s="23"/>
      <c r="S22" s="23"/>
      <c r="T22" s="23"/>
      <c r="U22" s="23"/>
      <c r="V22" s="23"/>
      <c r="W22" s="23"/>
      <c r="X22" s="23"/>
      <c r="Y22" s="23"/>
      <c r="Z22" s="23"/>
      <c r="AA22" s="23"/>
      <c r="AB22" s="23"/>
      <c r="AC22" s="23"/>
      <c r="AD22" s="23"/>
      <c r="AE22" s="23"/>
      <c r="AF22" s="23"/>
      <c r="AG22" s="23"/>
    </row>
    <row r="23" spans="1:33" x14ac:dyDescent="0.25">
      <c r="A23" s="32">
        <v>20</v>
      </c>
      <c r="B23" s="39"/>
      <c r="C23" s="39"/>
      <c r="D23" s="39"/>
      <c r="E23" s="39"/>
      <c r="F23" s="39"/>
      <c r="G23" s="39"/>
      <c r="H23" s="39"/>
      <c r="I23" s="40"/>
      <c r="J23" s="221"/>
      <c r="K23" s="23"/>
      <c r="L23" s="23"/>
      <c r="M23" s="23"/>
      <c r="N23" s="23"/>
      <c r="O23" s="23"/>
      <c r="P23" s="23"/>
      <c r="Q23" s="23"/>
      <c r="R23" s="23"/>
      <c r="S23" s="23"/>
      <c r="T23" s="23"/>
      <c r="U23" s="23"/>
      <c r="V23" s="23"/>
      <c r="W23" s="23"/>
      <c r="X23" s="23"/>
      <c r="Y23" s="23"/>
      <c r="Z23" s="23"/>
      <c r="AA23" s="23"/>
      <c r="AB23" s="23"/>
      <c r="AC23" s="23"/>
      <c r="AD23" s="23"/>
      <c r="AE23" s="23"/>
      <c r="AF23" s="23"/>
      <c r="AG23" s="23"/>
    </row>
    <row r="24" spans="1:33" x14ac:dyDescent="0.25">
      <c r="A24" s="32">
        <v>21</v>
      </c>
      <c r="B24" s="39"/>
      <c r="C24" s="39"/>
      <c r="D24" s="39"/>
      <c r="E24" s="39"/>
      <c r="F24" s="39"/>
      <c r="G24" s="39"/>
      <c r="H24" s="39"/>
      <c r="I24" s="40"/>
      <c r="J24" s="221"/>
      <c r="K24" s="23"/>
      <c r="L24" s="23"/>
      <c r="M24" s="23"/>
      <c r="N24" s="23"/>
      <c r="O24" s="23"/>
      <c r="P24" s="23"/>
      <c r="Q24" s="23"/>
      <c r="R24" s="23"/>
      <c r="S24" s="23"/>
      <c r="T24" s="23"/>
      <c r="U24" s="23"/>
      <c r="V24" s="23"/>
      <c r="W24" s="23"/>
      <c r="X24" s="23"/>
      <c r="Y24" s="23"/>
      <c r="Z24" s="23"/>
      <c r="AA24" s="23"/>
      <c r="AB24" s="23"/>
      <c r="AC24" s="23"/>
      <c r="AD24" s="23"/>
      <c r="AE24" s="23"/>
      <c r="AF24" s="23"/>
      <c r="AG24" s="23"/>
    </row>
    <row r="25" spans="1:33" x14ac:dyDescent="0.25">
      <c r="A25" s="32">
        <v>22</v>
      </c>
      <c r="B25" s="39"/>
      <c r="C25" s="39"/>
      <c r="D25" s="39"/>
      <c r="E25" s="39"/>
      <c r="F25" s="39"/>
      <c r="G25" s="39"/>
      <c r="H25" s="39"/>
      <c r="I25" s="40"/>
      <c r="J25" s="221"/>
      <c r="K25" s="23"/>
      <c r="L25" s="23"/>
      <c r="M25" s="23"/>
      <c r="N25" s="23"/>
      <c r="O25" s="23"/>
      <c r="P25" s="23"/>
      <c r="Q25" s="23"/>
      <c r="R25" s="23"/>
      <c r="S25" s="23"/>
      <c r="T25" s="23"/>
      <c r="U25" s="23"/>
      <c r="V25" s="23"/>
      <c r="W25" s="23"/>
      <c r="X25" s="23"/>
      <c r="Y25" s="23"/>
      <c r="Z25" s="23"/>
      <c r="AA25" s="23"/>
      <c r="AB25" s="23"/>
      <c r="AC25" s="23"/>
      <c r="AD25" s="23"/>
      <c r="AE25" s="23"/>
      <c r="AF25" s="23"/>
      <c r="AG25" s="23"/>
    </row>
    <row r="26" spans="1:33" x14ac:dyDescent="0.25">
      <c r="A26" s="32">
        <v>23</v>
      </c>
      <c r="B26" s="39"/>
      <c r="C26" s="39"/>
      <c r="D26" s="39"/>
      <c r="E26" s="39"/>
      <c r="F26" s="39"/>
      <c r="G26" s="39"/>
      <c r="H26" s="39"/>
      <c r="I26" s="40"/>
      <c r="J26" s="221"/>
      <c r="K26" s="23"/>
      <c r="L26" s="23"/>
      <c r="M26" s="23"/>
      <c r="N26" s="23"/>
      <c r="O26" s="23"/>
      <c r="P26" s="23"/>
      <c r="Q26" s="23"/>
      <c r="R26" s="23"/>
      <c r="S26" s="23"/>
      <c r="T26" s="23"/>
      <c r="U26" s="23"/>
      <c r="V26" s="23"/>
      <c r="W26" s="23"/>
      <c r="X26" s="23"/>
      <c r="Y26" s="23"/>
      <c r="Z26" s="23"/>
      <c r="AA26" s="23"/>
      <c r="AB26" s="23"/>
      <c r="AC26" s="23"/>
      <c r="AD26" s="23"/>
      <c r="AE26" s="23"/>
      <c r="AF26" s="23"/>
      <c r="AG26" s="23"/>
    </row>
    <row r="27" spans="1:33" x14ac:dyDescent="0.25">
      <c r="A27" s="32">
        <v>24</v>
      </c>
      <c r="B27" s="39"/>
      <c r="C27" s="39"/>
      <c r="D27" s="39"/>
      <c r="E27" s="39"/>
      <c r="F27" s="39"/>
      <c r="G27" s="39"/>
      <c r="H27" s="39"/>
      <c r="I27" s="40"/>
      <c r="J27" s="221"/>
      <c r="K27" s="23"/>
      <c r="L27" s="23"/>
      <c r="M27" s="23"/>
      <c r="N27" s="23"/>
      <c r="O27" s="23"/>
      <c r="P27" s="23"/>
      <c r="Q27" s="23"/>
      <c r="R27" s="23"/>
      <c r="S27" s="23"/>
      <c r="T27" s="23"/>
      <c r="U27" s="23"/>
      <c r="V27" s="23"/>
      <c r="W27" s="23"/>
      <c r="X27" s="23"/>
      <c r="Y27" s="23"/>
      <c r="Z27" s="23"/>
      <c r="AA27" s="23"/>
      <c r="AB27" s="23"/>
      <c r="AC27" s="23"/>
      <c r="AD27" s="23"/>
      <c r="AE27" s="23"/>
      <c r="AF27" s="23"/>
      <c r="AG27" s="23"/>
    </row>
    <row r="28" spans="1:33" x14ac:dyDescent="0.25">
      <c r="A28" s="32">
        <v>25</v>
      </c>
      <c r="B28" s="39"/>
      <c r="C28" s="39"/>
      <c r="D28" s="39"/>
      <c r="E28" s="39"/>
      <c r="F28" s="39"/>
      <c r="G28" s="39"/>
      <c r="H28" s="39"/>
      <c r="I28" s="40"/>
      <c r="J28" s="221"/>
      <c r="K28" s="23"/>
      <c r="L28" s="23"/>
      <c r="M28" s="23"/>
      <c r="N28" s="23"/>
      <c r="O28" s="23"/>
      <c r="P28" s="23"/>
      <c r="Q28" s="23"/>
      <c r="R28" s="23"/>
      <c r="S28" s="23"/>
      <c r="T28" s="23"/>
      <c r="U28" s="23"/>
      <c r="V28" s="23"/>
      <c r="W28" s="23"/>
      <c r="X28" s="23"/>
      <c r="Y28" s="23"/>
      <c r="Z28" s="23"/>
      <c r="AA28" s="23"/>
      <c r="AB28" s="23"/>
      <c r="AC28" s="23"/>
      <c r="AD28" s="23"/>
      <c r="AE28" s="23"/>
      <c r="AF28" s="23"/>
      <c r="AG28" s="23"/>
    </row>
  </sheetData>
  <mergeCells count="4">
    <mergeCell ref="L4:AE4"/>
    <mergeCell ref="Y10:AD10"/>
    <mergeCell ref="Y14:AD14"/>
    <mergeCell ref="L16:AE16"/>
  </mergeCells>
  <pageMargins left="0.7" right="0.7" top="0.75" bottom="0.75" header="0.3" footer="0.3"/>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AG28"/>
  <sheetViews>
    <sheetView showGridLines="0" workbookViewId="0">
      <selection activeCell="Q1" sqref="Q1"/>
    </sheetView>
  </sheetViews>
  <sheetFormatPr defaultRowHeight="15.75" x14ac:dyDescent="0.25"/>
  <cols>
    <col min="1" max="1" width="7.875" bestFit="1" customWidth="1"/>
    <col min="2" max="3" width="10" bestFit="1" customWidth="1"/>
    <col min="4" max="4" width="19" bestFit="1" customWidth="1"/>
    <col min="5" max="5" width="8.375" bestFit="1" customWidth="1"/>
    <col min="6" max="6" width="5.375" bestFit="1" customWidth="1"/>
    <col min="7" max="7" width="5.875" bestFit="1" customWidth="1"/>
    <col min="8" max="8" width="11.875" bestFit="1" customWidth="1"/>
    <col min="9" max="9" width="11.875" customWidth="1"/>
    <col min="10" max="10" width="12.125" bestFit="1" customWidth="1"/>
    <col min="11" max="11" width="3.75" customWidth="1"/>
    <col min="12" max="31" width="3.625" customWidth="1"/>
    <col min="32" max="32" width="3" customWidth="1"/>
  </cols>
  <sheetData>
    <row r="1" spans="1:33" x14ac:dyDescent="0.25">
      <c r="A1" s="16"/>
      <c r="B1" s="16"/>
      <c r="C1" s="16"/>
      <c r="D1" s="16"/>
      <c r="E1" s="16"/>
      <c r="F1" s="16"/>
      <c r="G1" s="16"/>
      <c r="H1" s="16"/>
      <c r="I1" s="16"/>
      <c r="J1" s="16"/>
      <c r="K1" s="16"/>
      <c r="L1" s="16"/>
      <c r="M1" s="16"/>
      <c r="N1" s="16"/>
      <c r="O1" s="16"/>
      <c r="P1" s="16"/>
      <c r="Q1" s="16"/>
      <c r="R1" s="16"/>
      <c r="S1" s="17">
        <f t="shared" ref="S1:AB1" si="0">VLOOKUP(MAX($A$3:$A$147),$A$3:$H$147,2)</f>
        <v>0</v>
      </c>
      <c r="T1" s="17">
        <f t="shared" si="0"/>
        <v>0</v>
      </c>
      <c r="U1" s="17">
        <f t="shared" si="0"/>
        <v>0</v>
      </c>
      <c r="V1" s="17">
        <f t="shared" si="0"/>
        <v>0</v>
      </c>
      <c r="W1" s="17">
        <f t="shared" si="0"/>
        <v>0</v>
      </c>
      <c r="X1" s="17">
        <f t="shared" si="0"/>
        <v>0</v>
      </c>
      <c r="Y1" s="17">
        <f t="shared" si="0"/>
        <v>0</v>
      </c>
      <c r="Z1" s="17">
        <f t="shared" si="0"/>
        <v>0</v>
      </c>
      <c r="AA1" s="17">
        <f t="shared" si="0"/>
        <v>0</v>
      </c>
      <c r="AB1" s="17">
        <f t="shared" si="0"/>
        <v>0</v>
      </c>
      <c r="AC1" s="18"/>
      <c r="AD1" s="18"/>
      <c r="AE1" s="18"/>
      <c r="AF1" s="18"/>
      <c r="AG1" s="18"/>
    </row>
    <row r="2" spans="1:33" ht="16.5" thickBot="1" x14ac:dyDescent="0.3">
      <c r="A2" s="73"/>
      <c r="B2" s="20"/>
      <c r="C2" s="20"/>
      <c r="D2" s="20"/>
      <c r="E2" s="20"/>
      <c r="F2" s="20"/>
      <c r="G2" s="20"/>
      <c r="H2" s="20"/>
      <c r="I2" s="22"/>
      <c r="J2" s="20"/>
      <c r="K2" s="23"/>
      <c r="L2" s="23"/>
      <c r="M2" s="23"/>
      <c r="N2" s="23"/>
      <c r="O2" s="23"/>
      <c r="P2" s="23"/>
      <c r="Q2" s="23"/>
      <c r="R2" s="23"/>
      <c r="S2" s="23"/>
      <c r="T2" s="23"/>
      <c r="U2" s="23"/>
      <c r="V2" s="23"/>
      <c r="W2" s="23"/>
      <c r="X2" s="23"/>
      <c r="Y2" s="23"/>
      <c r="Z2" s="23"/>
      <c r="AA2" s="23"/>
      <c r="AB2" s="23"/>
      <c r="AC2" s="23"/>
      <c r="AD2" s="23"/>
      <c r="AE2" s="23"/>
      <c r="AF2" s="23"/>
      <c r="AG2" s="23"/>
    </row>
    <row r="3" spans="1:33" x14ac:dyDescent="0.25">
      <c r="A3" s="68" t="s">
        <v>38</v>
      </c>
      <c r="B3" s="69" t="s">
        <v>39</v>
      </c>
      <c r="C3" s="69" t="s">
        <v>40</v>
      </c>
      <c r="D3" s="69" t="s">
        <v>41</v>
      </c>
      <c r="E3" s="68" t="s">
        <v>42</v>
      </c>
      <c r="F3" s="68" t="s">
        <v>43</v>
      </c>
      <c r="G3" s="68" t="s">
        <v>44</v>
      </c>
      <c r="H3" s="68" t="s">
        <v>45</v>
      </c>
      <c r="I3" s="68" t="s">
        <v>46</v>
      </c>
      <c r="J3" s="68" t="s">
        <v>47</v>
      </c>
      <c r="K3" s="23"/>
      <c r="L3" s="29"/>
      <c r="M3" s="30"/>
      <c r="N3" s="30"/>
      <c r="O3" s="30"/>
      <c r="P3" s="30"/>
      <c r="Q3" s="30"/>
      <c r="R3" s="30"/>
      <c r="S3" s="30"/>
      <c r="T3" s="30"/>
      <c r="U3" s="30"/>
      <c r="V3" s="30"/>
      <c r="W3" s="30"/>
      <c r="X3" s="30"/>
      <c r="Y3" s="30"/>
      <c r="Z3" s="30"/>
      <c r="AA3" s="30"/>
      <c r="AB3" s="30"/>
      <c r="AC3" s="30"/>
      <c r="AD3" s="30"/>
      <c r="AE3" s="31"/>
      <c r="AF3" s="23"/>
      <c r="AG3" s="23"/>
    </row>
    <row r="4" spans="1:33" x14ac:dyDescent="0.25">
      <c r="A4" s="32">
        <v>1</v>
      </c>
      <c r="B4" s="33" t="s">
        <v>48</v>
      </c>
      <c r="C4" s="34" t="s">
        <v>49</v>
      </c>
      <c r="D4" s="34" t="s">
        <v>50</v>
      </c>
      <c r="E4" s="34" t="s">
        <v>51</v>
      </c>
      <c r="F4" s="35" t="s">
        <v>52</v>
      </c>
      <c r="G4" s="35">
        <v>30062</v>
      </c>
      <c r="H4" s="33" t="s">
        <v>53</v>
      </c>
      <c r="I4" s="37" t="s">
        <v>54</v>
      </c>
      <c r="J4" s="70">
        <v>157665</v>
      </c>
      <c r="K4" s="23"/>
      <c r="L4" s="300" t="s">
        <v>55</v>
      </c>
      <c r="M4" s="301"/>
      <c r="N4" s="301"/>
      <c r="O4" s="301"/>
      <c r="P4" s="301"/>
      <c r="Q4" s="301"/>
      <c r="R4" s="301"/>
      <c r="S4" s="301"/>
      <c r="T4" s="301"/>
      <c r="U4" s="301"/>
      <c r="V4" s="301"/>
      <c r="W4" s="301"/>
      <c r="X4" s="301"/>
      <c r="Y4" s="301"/>
      <c r="Z4" s="301"/>
      <c r="AA4" s="301"/>
      <c r="AB4" s="301"/>
      <c r="AC4" s="301"/>
      <c r="AD4" s="301"/>
      <c r="AE4" s="302"/>
      <c r="AF4" s="23"/>
      <c r="AG4" s="23"/>
    </row>
    <row r="5" spans="1:33" x14ac:dyDescent="0.25">
      <c r="A5" s="32">
        <v>2</v>
      </c>
      <c r="B5" s="39" t="s">
        <v>56</v>
      </c>
      <c r="C5" s="39" t="s">
        <v>57</v>
      </c>
      <c r="D5" s="39" t="s">
        <v>58</v>
      </c>
      <c r="E5" s="39" t="s">
        <v>51</v>
      </c>
      <c r="F5" s="40" t="s">
        <v>52</v>
      </c>
      <c r="G5" s="40">
        <v>30063</v>
      </c>
      <c r="H5" s="42" t="s">
        <v>59</v>
      </c>
      <c r="I5" s="43" t="s">
        <v>60</v>
      </c>
      <c r="J5" s="71">
        <v>156340</v>
      </c>
      <c r="K5" s="23"/>
      <c r="L5" s="45"/>
      <c r="M5" s="46"/>
      <c r="N5" s="46"/>
      <c r="O5" s="46"/>
      <c r="P5" s="46"/>
      <c r="Q5" s="46"/>
      <c r="R5" s="46"/>
      <c r="S5" s="46"/>
      <c r="T5" s="46"/>
      <c r="U5" s="46"/>
      <c r="V5" s="46"/>
      <c r="W5" s="46"/>
      <c r="X5" s="46"/>
      <c r="Y5" s="46"/>
      <c r="Z5" s="46"/>
      <c r="AA5" s="46"/>
      <c r="AB5" s="46"/>
      <c r="AC5" s="46"/>
      <c r="AD5" s="46"/>
      <c r="AE5" s="47"/>
      <c r="AF5" s="23"/>
      <c r="AG5" s="23"/>
    </row>
    <row r="6" spans="1:33" x14ac:dyDescent="0.25">
      <c r="A6" s="32">
        <v>3</v>
      </c>
      <c r="B6" s="39" t="s">
        <v>61</v>
      </c>
      <c r="C6" s="42" t="s">
        <v>62</v>
      </c>
      <c r="D6" s="39" t="s">
        <v>63</v>
      </c>
      <c r="E6" s="39" t="s">
        <v>51</v>
      </c>
      <c r="F6" s="40" t="s">
        <v>52</v>
      </c>
      <c r="G6" s="40">
        <v>30064</v>
      </c>
      <c r="H6" s="42" t="s">
        <v>64</v>
      </c>
      <c r="I6" s="43" t="s">
        <v>65</v>
      </c>
      <c r="J6" s="71">
        <v>81480</v>
      </c>
      <c r="K6" s="23"/>
      <c r="L6" s="45"/>
      <c r="M6" s="48" t="s">
        <v>39</v>
      </c>
      <c r="N6" s="46"/>
      <c r="O6" s="46"/>
      <c r="P6" s="49" t="str">
        <f>INDEX(B:B,MATCH(REPT("z",255),B:B))</f>
        <v>Becker</v>
      </c>
      <c r="Q6" s="50"/>
      <c r="R6" s="50"/>
      <c r="S6" s="50"/>
      <c r="T6" s="50"/>
      <c r="U6" s="51"/>
      <c r="V6" s="46"/>
      <c r="W6" s="52" t="s">
        <v>42</v>
      </c>
      <c r="X6" s="46"/>
      <c r="Y6" s="49" t="str">
        <f>INDEX(E:E,MATCH(REPT("z",255),E:E))</f>
        <v>Aurora</v>
      </c>
      <c r="Z6" s="50"/>
      <c r="AA6" s="50"/>
      <c r="AB6" s="50"/>
      <c r="AC6" s="50"/>
      <c r="AD6" s="51"/>
      <c r="AE6" s="47"/>
      <c r="AF6" s="23"/>
      <c r="AG6" s="23"/>
    </row>
    <row r="7" spans="1:33" x14ac:dyDescent="0.25">
      <c r="A7" s="32">
        <v>4</v>
      </c>
      <c r="B7" s="39" t="s">
        <v>66</v>
      </c>
      <c r="C7" s="42" t="s">
        <v>67</v>
      </c>
      <c r="D7" s="39" t="s">
        <v>68</v>
      </c>
      <c r="E7" s="39" t="s">
        <v>51</v>
      </c>
      <c r="F7" s="40" t="s">
        <v>52</v>
      </c>
      <c r="G7" s="40">
        <v>30065</v>
      </c>
      <c r="H7" s="42" t="s">
        <v>69</v>
      </c>
      <c r="I7" s="43" t="s">
        <v>54</v>
      </c>
      <c r="J7" s="71">
        <v>202578</v>
      </c>
      <c r="K7" s="23"/>
      <c r="L7" s="45"/>
      <c r="M7" s="46"/>
      <c r="N7" s="46"/>
      <c r="O7" s="46"/>
      <c r="P7" s="46"/>
      <c r="Q7" s="46"/>
      <c r="R7" s="46"/>
      <c r="S7" s="46"/>
      <c r="T7" s="46"/>
      <c r="U7" s="46"/>
      <c r="V7" s="46"/>
      <c r="W7" s="46"/>
      <c r="X7" s="46"/>
      <c r="Y7" s="46"/>
      <c r="Z7" s="46"/>
      <c r="AA7" s="46"/>
      <c r="AB7" s="46"/>
      <c r="AC7" s="46"/>
      <c r="AD7" s="46"/>
      <c r="AE7" s="47"/>
      <c r="AF7" s="23"/>
      <c r="AG7" s="23"/>
    </row>
    <row r="8" spans="1:33" x14ac:dyDescent="0.25">
      <c r="A8" s="32">
        <v>5</v>
      </c>
      <c r="B8" s="42" t="s">
        <v>70</v>
      </c>
      <c r="C8" s="39" t="s">
        <v>71</v>
      </c>
      <c r="D8" s="39" t="s">
        <v>72</v>
      </c>
      <c r="E8" s="39" t="s">
        <v>51</v>
      </c>
      <c r="F8" s="40" t="s">
        <v>52</v>
      </c>
      <c r="G8" s="40">
        <v>30066</v>
      </c>
      <c r="H8" s="42" t="s">
        <v>73</v>
      </c>
      <c r="I8" s="43" t="s">
        <v>60</v>
      </c>
      <c r="J8" s="71">
        <v>177209</v>
      </c>
      <c r="K8" s="23"/>
      <c r="L8" s="45"/>
      <c r="M8" s="48" t="s">
        <v>40</v>
      </c>
      <c r="N8" s="46"/>
      <c r="O8" s="46"/>
      <c r="P8" s="49" t="str">
        <f>INDEX(C:C,MATCH(REPT("z",255),C:C))</f>
        <v>Amy</v>
      </c>
      <c r="Q8" s="50"/>
      <c r="R8" s="50"/>
      <c r="S8" s="50"/>
      <c r="T8" s="50"/>
      <c r="U8" s="51"/>
      <c r="V8" s="46"/>
      <c r="W8" s="52" t="s">
        <v>43</v>
      </c>
      <c r="X8" s="46"/>
      <c r="Y8" s="49" t="str">
        <f>INDEX(F:F,MATCH(REPT("z",255),F:F))</f>
        <v>IL</v>
      </c>
      <c r="Z8" s="50"/>
      <c r="AA8" s="50"/>
      <c r="AB8" s="50"/>
      <c r="AC8" s="50"/>
      <c r="AD8" s="51"/>
      <c r="AE8" s="47"/>
      <c r="AF8" s="23"/>
      <c r="AG8" s="23"/>
    </row>
    <row r="9" spans="1:33" x14ac:dyDescent="0.25">
      <c r="A9" s="32">
        <v>6</v>
      </c>
      <c r="B9" s="39" t="s">
        <v>74</v>
      </c>
      <c r="C9" s="39" t="s">
        <v>75</v>
      </c>
      <c r="D9" s="39" t="s">
        <v>76</v>
      </c>
      <c r="E9" s="39" t="s">
        <v>77</v>
      </c>
      <c r="F9" s="40" t="s">
        <v>52</v>
      </c>
      <c r="G9" s="40">
        <v>30092</v>
      </c>
      <c r="H9" s="42" t="s">
        <v>78</v>
      </c>
      <c r="I9" s="43" t="s">
        <v>65</v>
      </c>
      <c r="J9" s="71">
        <v>212254.23</v>
      </c>
      <c r="K9" s="23"/>
      <c r="L9" s="45"/>
      <c r="M9" s="46"/>
      <c r="N9" s="46"/>
      <c r="O9" s="46"/>
      <c r="P9" s="46"/>
      <c r="Q9" s="46"/>
      <c r="R9" s="46"/>
      <c r="S9" s="46"/>
      <c r="T9" s="46"/>
      <c r="U9" s="46"/>
      <c r="V9" s="46"/>
      <c r="W9" s="46"/>
      <c r="X9" s="46"/>
      <c r="Y9" s="46"/>
      <c r="Z9" s="46"/>
      <c r="AA9" s="46"/>
      <c r="AB9" s="46"/>
      <c r="AC9" s="46"/>
      <c r="AD9" s="46"/>
      <c r="AE9" s="47"/>
      <c r="AF9" s="23"/>
      <c r="AG9" s="23"/>
    </row>
    <row r="10" spans="1:33" x14ac:dyDescent="0.25">
      <c r="A10" s="32">
        <v>7</v>
      </c>
      <c r="B10" s="39" t="s">
        <v>79</v>
      </c>
      <c r="C10" s="39" t="s">
        <v>80</v>
      </c>
      <c r="D10" s="39" t="s">
        <v>50</v>
      </c>
      <c r="E10" s="39" t="s">
        <v>81</v>
      </c>
      <c r="F10" s="40" t="s">
        <v>82</v>
      </c>
      <c r="G10" s="40">
        <v>30092</v>
      </c>
      <c r="H10" s="42" t="s">
        <v>53</v>
      </c>
      <c r="I10" s="43" t="s">
        <v>54</v>
      </c>
      <c r="J10" s="71">
        <v>124533.45</v>
      </c>
      <c r="K10" s="23"/>
      <c r="L10" s="45"/>
      <c r="M10" s="48" t="s">
        <v>41</v>
      </c>
      <c r="N10" s="46"/>
      <c r="O10" s="46"/>
      <c r="P10" s="49" t="str">
        <f>INDEX(D:D,MATCH(REPT("z",255),D:D))</f>
        <v>1111 Church Road</v>
      </c>
      <c r="Q10" s="50"/>
      <c r="R10" s="50"/>
      <c r="S10" s="50"/>
      <c r="T10" s="50"/>
      <c r="U10" s="51"/>
      <c r="V10" s="46"/>
      <c r="W10" s="52" t="s">
        <v>44</v>
      </c>
      <c r="X10" s="46"/>
      <c r="Y10" s="49" t="str">
        <f>INDEX(G:G,MATCH(REPT("z",255),G:G))</f>
        <v>Zip</v>
      </c>
      <c r="Z10" s="50"/>
      <c r="AA10" s="50"/>
      <c r="AB10" s="50"/>
      <c r="AC10" s="50"/>
      <c r="AD10" s="51"/>
      <c r="AE10" s="47"/>
      <c r="AF10" s="23"/>
      <c r="AG10" s="23"/>
    </row>
    <row r="11" spans="1:33" x14ac:dyDescent="0.25">
      <c r="A11" s="32">
        <v>8</v>
      </c>
      <c r="B11" s="39" t="s">
        <v>246</v>
      </c>
      <c r="C11" s="39" t="s">
        <v>247</v>
      </c>
      <c r="D11" s="39" t="s">
        <v>248</v>
      </c>
      <c r="E11" s="39" t="s">
        <v>249</v>
      </c>
      <c r="F11" s="39" t="s">
        <v>139</v>
      </c>
      <c r="G11" s="39">
        <v>60505</v>
      </c>
      <c r="H11" s="39" t="s">
        <v>250</v>
      </c>
      <c r="I11" s="40" t="s">
        <v>251</v>
      </c>
      <c r="J11" s="71">
        <v>500000</v>
      </c>
      <c r="K11" s="23"/>
      <c r="L11" s="45"/>
      <c r="M11" s="46"/>
      <c r="N11" s="46"/>
      <c r="O11" s="46"/>
      <c r="P11" s="46"/>
      <c r="Q11" s="46"/>
      <c r="R11" s="46"/>
      <c r="S11" s="46"/>
      <c r="T11" s="46"/>
      <c r="U11" s="46"/>
      <c r="V11" s="46"/>
      <c r="W11" s="46"/>
      <c r="X11" s="46"/>
      <c r="Y11" s="46"/>
      <c r="Z11" s="46"/>
      <c r="AA11" s="46"/>
      <c r="AB11" s="46"/>
      <c r="AC11" s="46"/>
      <c r="AD11" s="46"/>
      <c r="AE11" s="47"/>
      <c r="AF11" s="23"/>
      <c r="AG11" s="23"/>
    </row>
    <row r="12" spans="1:33" x14ac:dyDescent="0.25">
      <c r="A12" s="32">
        <v>9</v>
      </c>
      <c r="B12" s="39"/>
      <c r="C12" s="39"/>
      <c r="D12" s="39"/>
      <c r="E12" s="39"/>
      <c r="F12" s="39"/>
      <c r="G12" s="39"/>
      <c r="H12" s="39"/>
      <c r="I12" s="40"/>
      <c r="J12" s="39"/>
      <c r="K12" s="23"/>
      <c r="L12" s="45"/>
      <c r="M12" s="52" t="s">
        <v>45</v>
      </c>
      <c r="N12" s="46"/>
      <c r="O12" s="46"/>
      <c r="P12" s="49" t="str">
        <f>INDEX(H:H,MATCH(REPT("z",255),H:H))</f>
        <v>630.844.5385</v>
      </c>
      <c r="Q12" s="50"/>
      <c r="R12" s="50"/>
      <c r="S12" s="50"/>
      <c r="T12" s="50"/>
      <c r="U12" s="51"/>
      <c r="V12" s="46"/>
      <c r="W12" s="60" t="s">
        <v>99</v>
      </c>
      <c r="X12" s="46"/>
      <c r="Y12" s="49" t="str">
        <f>INDEX(I:I,MATCH(REPT("z",255),I:I))</f>
        <v>Plan ADS</v>
      </c>
      <c r="Z12" s="50"/>
      <c r="AA12" s="50"/>
      <c r="AB12" s="50"/>
      <c r="AC12" s="50"/>
      <c r="AD12" s="51"/>
      <c r="AE12" s="47"/>
      <c r="AF12" s="23"/>
      <c r="AG12" s="23"/>
    </row>
    <row r="13" spans="1:33" x14ac:dyDescent="0.25">
      <c r="A13" s="32">
        <v>10</v>
      </c>
      <c r="B13" s="39"/>
      <c r="C13" s="39"/>
      <c r="D13" s="39"/>
      <c r="E13" s="39"/>
      <c r="F13" s="39"/>
      <c r="G13" s="39"/>
      <c r="H13" s="39"/>
      <c r="I13" s="40"/>
      <c r="J13" s="39"/>
      <c r="K13" s="23"/>
      <c r="L13" s="45"/>
      <c r="M13" s="46"/>
      <c r="N13" s="46"/>
      <c r="O13" s="46"/>
      <c r="P13" s="46"/>
      <c r="Q13" s="46"/>
      <c r="R13" s="46"/>
      <c r="S13" s="46"/>
      <c r="T13" s="46"/>
      <c r="U13" s="46"/>
      <c r="V13" s="46"/>
      <c r="W13" s="46"/>
      <c r="X13" s="46"/>
      <c r="Y13" s="46"/>
      <c r="Z13" s="46"/>
      <c r="AA13" s="46"/>
      <c r="AB13" s="46"/>
      <c r="AC13" s="46"/>
      <c r="AD13" s="46"/>
      <c r="AE13" s="47"/>
      <c r="AF13" s="23"/>
      <c r="AG13" s="23"/>
    </row>
    <row r="14" spans="1:33" x14ac:dyDescent="0.25">
      <c r="A14" s="32">
        <v>11</v>
      </c>
      <c r="B14" s="39"/>
      <c r="C14" s="39"/>
      <c r="D14" s="39"/>
      <c r="E14" s="39"/>
      <c r="F14" s="39"/>
      <c r="G14" s="39"/>
      <c r="H14" s="39"/>
      <c r="I14" s="40"/>
      <c r="J14" s="39"/>
      <c r="K14" s="23"/>
      <c r="L14" s="45"/>
      <c r="M14" s="52" t="s">
        <v>90</v>
      </c>
      <c r="N14" s="46"/>
      <c r="O14" s="46"/>
      <c r="P14" s="46"/>
      <c r="Q14" s="46"/>
      <c r="R14" s="46"/>
      <c r="S14" s="46"/>
      <c r="T14" s="46"/>
      <c r="U14" s="46"/>
      <c r="V14" s="46"/>
      <c r="W14" s="46"/>
      <c r="X14" s="46"/>
      <c r="Y14" s="49" t="str">
        <f>TEXT(INDEX(J:J,MATCH(9.99999999999999E+307,J:J)),"$#,000.00")</f>
        <v>$500,000.00</v>
      </c>
      <c r="Z14" s="50"/>
      <c r="AA14" s="50"/>
      <c r="AB14" s="50"/>
      <c r="AC14" s="50"/>
      <c r="AD14" s="51"/>
      <c r="AE14" s="47"/>
      <c r="AF14" s="23"/>
      <c r="AG14" s="23"/>
    </row>
    <row r="15" spans="1:33" x14ac:dyDescent="0.25">
      <c r="A15" s="32">
        <v>12</v>
      </c>
      <c r="B15" s="39"/>
      <c r="C15" s="39"/>
      <c r="D15" s="39"/>
      <c r="E15" s="39"/>
      <c r="F15" s="39"/>
      <c r="G15" s="39"/>
      <c r="H15" s="39"/>
      <c r="I15" s="40"/>
      <c r="J15" s="39"/>
      <c r="K15" s="23"/>
      <c r="L15" s="45"/>
      <c r="M15" s="46"/>
      <c r="N15" s="46"/>
      <c r="O15" s="46"/>
      <c r="P15" s="46"/>
      <c r="Q15" s="46"/>
      <c r="R15" s="46"/>
      <c r="S15" s="46"/>
      <c r="T15" s="46"/>
      <c r="U15" s="46"/>
      <c r="V15" s="46"/>
      <c r="W15" s="46"/>
      <c r="X15" s="46"/>
      <c r="Y15" s="46"/>
      <c r="Z15" s="46"/>
      <c r="AA15" s="46"/>
      <c r="AB15" s="46"/>
      <c r="AC15" s="46"/>
      <c r="AD15" s="46"/>
      <c r="AE15" s="47"/>
      <c r="AF15" s="23"/>
      <c r="AG15" s="23"/>
    </row>
    <row r="16" spans="1:33" x14ac:dyDescent="0.25">
      <c r="A16" s="32">
        <v>13</v>
      </c>
      <c r="B16" s="39"/>
      <c r="C16" s="39"/>
      <c r="D16" s="39"/>
      <c r="E16" s="39"/>
      <c r="F16" s="39"/>
      <c r="G16" s="39"/>
      <c r="H16" s="39"/>
      <c r="I16" s="40"/>
      <c r="J16" s="39"/>
      <c r="K16" s="23"/>
      <c r="L16" s="303" t="s">
        <v>91</v>
      </c>
      <c r="M16" s="304"/>
      <c r="N16" s="304"/>
      <c r="O16" s="304"/>
      <c r="P16" s="304"/>
      <c r="Q16" s="304"/>
      <c r="R16" s="304"/>
      <c r="S16" s="304"/>
      <c r="T16" s="304"/>
      <c r="U16" s="304"/>
      <c r="V16" s="304"/>
      <c r="W16" s="304"/>
      <c r="X16" s="304"/>
      <c r="Y16" s="304"/>
      <c r="Z16" s="304"/>
      <c r="AA16" s="304"/>
      <c r="AB16" s="304"/>
      <c r="AC16" s="304"/>
      <c r="AD16" s="304"/>
      <c r="AE16" s="305"/>
      <c r="AF16" s="23"/>
      <c r="AG16" s="23"/>
    </row>
    <row r="17" spans="1:33" ht="16.5" thickBot="1" x14ac:dyDescent="0.3">
      <c r="A17" s="32">
        <v>14</v>
      </c>
      <c r="B17" s="39"/>
      <c r="C17" s="39"/>
      <c r="D17" s="39"/>
      <c r="E17" s="39"/>
      <c r="F17" s="39"/>
      <c r="G17" s="39"/>
      <c r="H17" s="39"/>
      <c r="I17" s="40"/>
      <c r="J17" s="39"/>
      <c r="K17" s="23"/>
      <c r="L17" s="61"/>
      <c r="M17" s="62"/>
      <c r="N17" s="62"/>
      <c r="O17" s="62"/>
      <c r="P17" s="62"/>
      <c r="Q17" s="62"/>
      <c r="R17" s="62"/>
      <c r="S17" s="62"/>
      <c r="T17" s="62"/>
      <c r="U17" s="62"/>
      <c r="V17" s="62"/>
      <c r="W17" s="62"/>
      <c r="X17" s="62"/>
      <c r="Y17" s="62"/>
      <c r="Z17" s="62"/>
      <c r="AA17" s="62"/>
      <c r="AB17" s="62"/>
      <c r="AC17" s="62"/>
      <c r="AD17" s="62"/>
      <c r="AE17" s="63"/>
      <c r="AF17" s="23"/>
      <c r="AG17" s="23"/>
    </row>
    <row r="18" spans="1:33" x14ac:dyDescent="0.25">
      <c r="A18" s="32">
        <v>15</v>
      </c>
      <c r="B18" s="39"/>
      <c r="C18" s="39"/>
      <c r="D18" s="39"/>
      <c r="E18" s="39"/>
      <c r="F18" s="39"/>
      <c r="G18" s="39"/>
      <c r="H18" s="39"/>
      <c r="I18" s="40"/>
      <c r="J18" s="39"/>
      <c r="K18" s="23"/>
      <c r="L18" s="23"/>
      <c r="M18" s="23"/>
      <c r="N18" s="23"/>
      <c r="O18" s="23"/>
      <c r="P18" s="23"/>
      <c r="Q18" s="23"/>
      <c r="R18" s="23"/>
      <c r="S18" s="23"/>
      <c r="T18" s="23"/>
      <c r="U18" s="23"/>
      <c r="V18" s="23"/>
      <c r="W18" s="23"/>
      <c r="X18" s="23"/>
      <c r="Y18" s="23"/>
      <c r="Z18" s="23"/>
      <c r="AA18" s="23"/>
      <c r="AB18" s="23"/>
      <c r="AC18" s="23"/>
      <c r="AD18" s="23"/>
      <c r="AE18" s="23"/>
      <c r="AF18" s="23"/>
      <c r="AG18" s="23"/>
    </row>
    <row r="19" spans="1:33" x14ac:dyDescent="0.25">
      <c r="A19" s="32">
        <v>16</v>
      </c>
      <c r="B19" s="39"/>
      <c r="C19" s="39"/>
      <c r="D19" s="39"/>
      <c r="E19" s="39"/>
      <c r="F19" s="39"/>
      <c r="G19" s="39"/>
      <c r="H19" s="39"/>
      <c r="I19" s="40"/>
      <c r="J19" s="39"/>
      <c r="K19" s="23"/>
      <c r="L19" s="23"/>
      <c r="M19" s="23"/>
      <c r="N19" s="23"/>
      <c r="O19" s="23"/>
      <c r="P19" s="23"/>
      <c r="Q19" s="23"/>
      <c r="R19" s="23"/>
      <c r="S19" s="23"/>
      <c r="T19" s="23"/>
      <c r="U19" s="23"/>
      <c r="V19" s="23"/>
      <c r="W19" s="23"/>
      <c r="X19" s="23"/>
      <c r="Y19" s="23"/>
      <c r="Z19" s="23"/>
      <c r="AA19" s="23"/>
      <c r="AB19" s="23"/>
      <c r="AC19" s="23"/>
      <c r="AD19" s="23"/>
      <c r="AE19" s="23"/>
      <c r="AF19" s="23"/>
      <c r="AG19" s="23"/>
    </row>
    <row r="20" spans="1:33" x14ac:dyDescent="0.25">
      <c r="A20" s="32">
        <v>17</v>
      </c>
      <c r="B20" s="39"/>
      <c r="C20" s="39"/>
      <c r="D20" s="39"/>
      <c r="E20" s="39"/>
      <c r="F20" s="39"/>
      <c r="G20" s="39"/>
      <c r="H20" s="39"/>
      <c r="I20" s="40"/>
      <c r="J20" s="39"/>
      <c r="K20" s="23"/>
      <c r="L20" s="23"/>
      <c r="M20" s="23"/>
      <c r="N20" s="23"/>
      <c r="O20" s="23"/>
      <c r="P20" s="23"/>
      <c r="Q20" s="23"/>
      <c r="R20" s="23"/>
      <c r="S20" s="23"/>
      <c r="T20" s="23"/>
      <c r="U20" s="23"/>
      <c r="V20" s="23"/>
      <c r="W20" s="23"/>
      <c r="X20" s="23"/>
      <c r="Y20" s="23"/>
      <c r="Z20" s="23"/>
      <c r="AA20" s="23"/>
      <c r="AB20" s="23"/>
      <c r="AC20" s="23"/>
      <c r="AD20" s="23"/>
      <c r="AE20" s="23"/>
      <c r="AF20" s="23"/>
      <c r="AG20" s="23"/>
    </row>
    <row r="21" spans="1:33" x14ac:dyDescent="0.25">
      <c r="A21" s="32">
        <v>18</v>
      </c>
      <c r="B21" s="39"/>
      <c r="C21" s="39"/>
      <c r="D21" s="39"/>
      <c r="E21" s="39"/>
      <c r="F21" s="39"/>
      <c r="G21" s="39"/>
      <c r="H21" s="39"/>
      <c r="I21" s="40"/>
      <c r="J21" s="39"/>
      <c r="K21" s="23"/>
      <c r="L21" s="23"/>
      <c r="M21" s="23"/>
      <c r="N21" s="23"/>
      <c r="O21" s="23"/>
      <c r="P21" s="23"/>
      <c r="Q21" s="23"/>
      <c r="R21" s="23"/>
      <c r="S21" s="23"/>
      <c r="T21" s="23"/>
      <c r="U21" s="23"/>
      <c r="V21" s="23"/>
      <c r="W21" s="23"/>
      <c r="X21" s="23"/>
      <c r="Y21" s="23"/>
      <c r="Z21" s="23"/>
      <c r="AA21" s="23"/>
      <c r="AB21" s="23"/>
      <c r="AC21" s="23"/>
      <c r="AD21" s="23"/>
      <c r="AE21" s="23"/>
      <c r="AF21" s="23"/>
      <c r="AG21" s="23"/>
    </row>
    <row r="22" spans="1:33" x14ac:dyDescent="0.25">
      <c r="A22" s="32">
        <v>19</v>
      </c>
      <c r="B22" s="39"/>
      <c r="C22" s="39"/>
      <c r="D22" s="39"/>
      <c r="E22" s="39"/>
      <c r="F22" s="39"/>
      <c r="G22" s="39"/>
      <c r="H22" s="39"/>
      <c r="I22" s="40"/>
      <c r="J22" s="39"/>
      <c r="K22" s="23"/>
      <c r="L22" s="23"/>
      <c r="M22" s="23"/>
      <c r="N22" s="23"/>
      <c r="O22" s="23"/>
      <c r="P22" s="23"/>
      <c r="Q22" s="23"/>
      <c r="R22" s="23"/>
      <c r="S22" s="23"/>
      <c r="T22" s="23"/>
      <c r="U22" s="23"/>
      <c r="V22" s="23"/>
      <c r="W22" s="23"/>
      <c r="X22" s="23"/>
      <c r="Y22" s="23"/>
      <c r="Z22" s="23"/>
      <c r="AA22" s="23"/>
      <c r="AB22" s="23"/>
      <c r="AC22" s="23"/>
      <c r="AD22" s="23"/>
      <c r="AE22" s="23"/>
      <c r="AF22" s="23"/>
      <c r="AG22" s="23"/>
    </row>
    <row r="23" spans="1:33" x14ac:dyDescent="0.25">
      <c r="A23" s="32">
        <v>20</v>
      </c>
      <c r="B23" s="39"/>
      <c r="C23" s="39"/>
      <c r="D23" s="39"/>
      <c r="E23" s="39"/>
      <c r="F23" s="39"/>
      <c r="G23" s="39"/>
      <c r="H23" s="39"/>
      <c r="I23" s="40"/>
      <c r="J23" s="39"/>
      <c r="K23" s="23"/>
      <c r="L23" s="23"/>
      <c r="M23" s="23"/>
      <c r="N23" s="23"/>
      <c r="O23" s="23"/>
      <c r="P23" s="23"/>
      <c r="Q23" s="23"/>
      <c r="R23" s="23"/>
      <c r="S23" s="23"/>
      <c r="T23" s="23"/>
      <c r="U23" s="23"/>
      <c r="V23" s="23"/>
      <c r="W23" s="23"/>
      <c r="X23" s="23"/>
      <c r="Y23" s="23"/>
      <c r="Z23" s="23"/>
      <c r="AA23" s="23"/>
      <c r="AB23" s="23"/>
      <c r="AC23" s="23"/>
      <c r="AD23" s="23"/>
      <c r="AE23" s="23"/>
      <c r="AF23" s="23"/>
      <c r="AG23" s="23"/>
    </row>
    <row r="24" spans="1:33" x14ac:dyDescent="0.25">
      <c r="A24" s="32">
        <v>21</v>
      </c>
      <c r="B24" s="39"/>
      <c r="C24" s="39"/>
      <c r="D24" s="39"/>
      <c r="E24" s="39"/>
      <c r="F24" s="39"/>
      <c r="G24" s="39"/>
      <c r="H24" s="39"/>
      <c r="I24" s="40"/>
      <c r="J24" s="39"/>
      <c r="K24" s="23"/>
      <c r="L24" s="23"/>
      <c r="M24" s="23"/>
      <c r="N24" s="23"/>
      <c r="O24" s="23"/>
      <c r="P24" s="23"/>
      <c r="Q24" s="23"/>
      <c r="R24" s="23"/>
      <c r="S24" s="23"/>
      <c r="T24" s="23"/>
      <c r="U24" s="23"/>
      <c r="V24" s="23"/>
      <c r="W24" s="23"/>
      <c r="X24" s="23"/>
      <c r="Y24" s="23"/>
      <c r="Z24" s="23"/>
      <c r="AA24" s="23"/>
      <c r="AB24" s="23"/>
      <c r="AC24" s="23"/>
      <c r="AD24" s="23"/>
      <c r="AE24" s="23"/>
      <c r="AF24" s="23"/>
      <c r="AG24" s="23"/>
    </row>
    <row r="25" spans="1:33" x14ac:dyDescent="0.25">
      <c r="A25" s="32">
        <v>22</v>
      </c>
      <c r="B25" s="39"/>
      <c r="C25" s="39"/>
      <c r="D25" s="39"/>
      <c r="E25" s="39"/>
      <c r="F25" s="39"/>
      <c r="G25" s="39"/>
      <c r="H25" s="39"/>
      <c r="I25" s="40"/>
      <c r="J25" s="39"/>
      <c r="K25" s="23"/>
      <c r="L25" s="23"/>
      <c r="M25" s="23"/>
      <c r="N25" s="23"/>
      <c r="O25" s="23"/>
      <c r="P25" s="23"/>
      <c r="Q25" s="23"/>
      <c r="R25" s="23"/>
      <c r="S25" s="23"/>
      <c r="T25" s="23"/>
      <c r="U25" s="23"/>
      <c r="V25" s="23"/>
      <c r="W25" s="23"/>
      <c r="X25" s="23"/>
      <c r="Y25" s="23"/>
      <c r="Z25" s="23"/>
      <c r="AA25" s="23"/>
      <c r="AB25" s="23"/>
      <c r="AC25" s="23"/>
      <c r="AD25" s="23"/>
      <c r="AE25" s="23"/>
      <c r="AF25" s="23"/>
      <c r="AG25" s="23"/>
    </row>
    <row r="26" spans="1:33" x14ac:dyDescent="0.25">
      <c r="A26" s="32">
        <v>23</v>
      </c>
      <c r="B26" s="39"/>
      <c r="C26" s="39"/>
      <c r="D26" s="39"/>
      <c r="E26" s="39"/>
      <c r="F26" s="39"/>
      <c r="G26" s="39"/>
      <c r="H26" s="39"/>
      <c r="I26" s="40"/>
      <c r="J26" s="39"/>
      <c r="K26" s="23"/>
      <c r="L26" s="23"/>
      <c r="M26" s="23"/>
      <c r="N26" s="23"/>
      <c r="O26" s="23"/>
      <c r="P26" s="23"/>
      <c r="Q26" s="23"/>
      <c r="R26" s="23"/>
      <c r="S26" s="23"/>
      <c r="T26" s="23"/>
      <c r="U26" s="23"/>
      <c r="V26" s="23"/>
      <c r="W26" s="23"/>
      <c r="X26" s="23"/>
      <c r="Y26" s="23"/>
      <c r="Z26" s="23"/>
      <c r="AA26" s="23"/>
      <c r="AB26" s="23"/>
      <c r="AC26" s="23"/>
      <c r="AD26" s="23"/>
      <c r="AE26" s="23"/>
      <c r="AF26" s="23"/>
      <c r="AG26" s="23"/>
    </row>
    <row r="27" spans="1:33" x14ac:dyDescent="0.25">
      <c r="A27" s="32">
        <v>24</v>
      </c>
      <c r="B27" s="39"/>
      <c r="C27" s="39"/>
      <c r="D27" s="39"/>
      <c r="E27" s="39"/>
      <c r="F27" s="39"/>
      <c r="G27" s="39"/>
      <c r="H27" s="39"/>
      <c r="I27" s="40"/>
      <c r="J27" s="39"/>
      <c r="K27" s="23"/>
      <c r="L27" s="23"/>
      <c r="M27" s="23"/>
      <c r="N27" s="23"/>
      <c r="O27" s="23"/>
      <c r="P27" s="23"/>
      <c r="Q27" s="23"/>
      <c r="R27" s="23"/>
      <c r="S27" s="23"/>
      <c r="T27" s="23"/>
      <c r="U27" s="23"/>
      <c r="V27" s="23"/>
      <c r="W27" s="23"/>
      <c r="X27" s="23"/>
      <c r="Y27" s="23"/>
      <c r="Z27" s="23"/>
      <c r="AA27" s="23"/>
      <c r="AB27" s="23"/>
      <c r="AC27" s="23"/>
      <c r="AD27" s="23"/>
      <c r="AE27" s="23"/>
      <c r="AF27" s="23"/>
      <c r="AG27" s="23"/>
    </row>
    <row r="28" spans="1:33" x14ac:dyDescent="0.25">
      <c r="A28" s="32">
        <v>25</v>
      </c>
      <c r="B28" s="39"/>
      <c r="C28" s="39"/>
      <c r="D28" s="39"/>
      <c r="E28" s="39"/>
      <c r="F28" s="39"/>
      <c r="G28" s="39"/>
      <c r="H28" s="39"/>
      <c r="I28" s="40"/>
      <c r="J28" s="39"/>
      <c r="K28" s="23"/>
      <c r="L28" s="23"/>
      <c r="M28" s="23"/>
      <c r="N28" s="23"/>
      <c r="O28" s="23"/>
      <c r="P28" s="23"/>
      <c r="Q28" s="23"/>
      <c r="R28" s="23"/>
      <c r="S28" s="23"/>
      <c r="T28" s="23"/>
      <c r="U28" s="23"/>
      <c r="V28" s="23"/>
      <c r="W28" s="23"/>
      <c r="X28" s="23"/>
      <c r="Y28" s="23"/>
      <c r="Z28" s="23"/>
      <c r="AA28" s="23"/>
      <c r="AB28" s="23"/>
      <c r="AC28" s="23"/>
      <c r="AD28" s="23"/>
      <c r="AE28" s="23"/>
      <c r="AF28" s="23"/>
      <c r="AG28" s="23"/>
    </row>
  </sheetData>
  <mergeCells count="2">
    <mergeCell ref="L4:AE4"/>
    <mergeCell ref="L16:AE16"/>
  </mergeCells>
  <pageMargins left="0.7" right="0.7" top="0.75" bottom="0.75" header="0.3" footer="0.3"/>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A1:AE27"/>
  <sheetViews>
    <sheetView showGridLines="0" workbookViewId="0">
      <selection activeCell="Q1" sqref="Q1"/>
    </sheetView>
  </sheetViews>
  <sheetFormatPr defaultRowHeight="15.75" x14ac:dyDescent="0.25"/>
  <cols>
    <col min="1" max="1" width="7.875" bestFit="1" customWidth="1"/>
    <col min="2" max="3" width="10" bestFit="1" customWidth="1"/>
    <col min="4" max="4" width="19" bestFit="1" customWidth="1"/>
    <col min="5" max="5" width="8.375" bestFit="1" customWidth="1"/>
    <col min="6" max="6" width="5.375" bestFit="1" customWidth="1"/>
    <col min="7" max="7" width="5.875" bestFit="1" customWidth="1"/>
    <col min="8" max="8" width="11.875" bestFit="1" customWidth="1"/>
    <col min="9" max="9" width="11.875" customWidth="1"/>
    <col min="10" max="10" width="12.125" bestFit="1" customWidth="1"/>
    <col min="11" max="11" width="3.75" customWidth="1"/>
    <col min="12" max="31" width="3.625" customWidth="1"/>
    <col min="32" max="32" width="3" customWidth="1"/>
  </cols>
  <sheetData>
    <row r="1" spans="1:31" x14ac:dyDescent="0.25">
      <c r="A1" s="16"/>
      <c r="B1" s="16"/>
      <c r="C1" s="16"/>
      <c r="D1" s="16"/>
      <c r="E1" s="16"/>
      <c r="F1" s="16"/>
      <c r="G1" s="16"/>
      <c r="H1" s="16"/>
      <c r="I1" s="16"/>
      <c r="J1" s="16"/>
      <c r="K1" s="16"/>
      <c r="L1" s="16"/>
      <c r="M1" s="16"/>
      <c r="N1" s="16"/>
      <c r="O1" s="16"/>
      <c r="P1" s="16"/>
      <c r="Q1" s="16"/>
      <c r="R1" s="16"/>
      <c r="S1" s="17">
        <f t="shared" ref="S1:AB1" si="0">VLOOKUP(MAX($A$3:$A$147),$A$3:$H$147,2)</f>
        <v>0</v>
      </c>
      <c r="T1" s="17">
        <f t="shared" si="0"/>
        <v>0</v>
      </c>
      <c r="U1" s="17">
        <f t="shared" si="0"/>
        <v>0</v>
      </c>
      <c r="V1" s="17">
        <f t="shared" si="0"/>
        <v>0</v>
      </c>
      <c r="W1" s="17">
        <f t="shared" si="0"/>
        <v>0</v>
      </c>
      <c r="X1" s="17">
        <f t="shared" si="0"/>
        <v>0</v>
      </c>
      <c r="Y1" s="17">
        <f t="shared" si="0"/>
        <v>0</v>
      </c>
      <c r="Z1" s="17">
        <f t="shared" si="0"/>
        <v>0</v>
      </c>
      <c r="AA1" s="17">
        <f t="shared" si="0"/>
        <v>0</v>
      </c>
      <c r="AB1" s="17">
        <f t="shared" si="0"/>
        <v>0</v>
      </c>
      <c r="AC1" s="18"/>
      <c r="AD1" s="18"/>
      <c r="AE1" s="18"/>
    </row>
    <row r="2" spans="1:31" ht="16.5" thickBot="1" x14ac:dyDescent="0.3">
      <c r="A2" s="73"/>
      <c r="B2" s="20"/>
      <c r="C2" s="20"/>
      <c r="D2" s="20"/>
      <c r="E2" s="20"/>
      <c r="F2" s="20"/>
      <c r="G2" s="20"/>
      <c r="H2" s="20"/>
      <c r="I2" s="22"/>
      <c r="J2" s="20"/>
      <c r="K2" s="23"/>
      <c r="L2" s="23"/>
      <c r="M2" s="23"/>
      <c r="N2" s="23"/>
      <c r="O2" s="23"/>
      <c r="P2" s="23"/>
      <c r="Q2" s="23"/>
      <c r="R2" s="23"/>
      <c r="S2" s="23"/>
      <c r="T2" s="23"/>
      <c r="U2" s="23"/>
      <c r="V2" s="23"/>
      <c r="W2" s="23"/>
      <c r="X2" s="23"/>
      <c r="Y2" s="23"/>
      <c r="Z2" s="23"/>
      <c r="AA2" s="23"/>
      <c r="AB2" s="23"/>
      <c r="AC2" s="23"/>
      <c r="AD2" s="23"/>
      <c r="AE2" s="23"/>
    </row>
    <row r="3" spans="1:31" x14ac:dyDescent="0.25">
      <c r="A3" s="68" t="s">
        <v>38</v>
      </c>
      <c r="B3" s="69" t="s">
        <v>39</v>
      </c>
      <c r="C3" s="69" t="s">
        <v>40</v>
      </c>
      <c r="D3" s="69" t="s">
        <v>41</v>
      </c>
      <c r="E3" s="68" t="s">
        <v>42</v>
      </c>
      <c r="F3" s="68" t="s">
        <v>43</v>
      </c>
      <c r="G3" s="68" t="s">
        <v>44</v>
      </c>
      <c r="H3" s="68" t="s">
        <v>45</v>
      </c>
      <c r="I3" s="68" t="s">
        <v>46</v>
      </c>
      <c r="J3" s="68" t="s">
        <v>47</v>
      </c>
      <c r="K3" s="23"/>
      <c r="L3" s="29"/>
      <c r="M3" s="30"/>
      <c r="N3" s="30"/>
      <c r="O3" s="30"/>
      <c r="P3" s="30"/>
      <c r="Q3" s="30"/>
      <c r="R3" s="30"/>
      <c r="S3" s="30"/>
      <c r="T3" s="30"/>
      <c r="U3" s="30"/>
      <c r="V3" s="30"/>
      <c r="W3" s="30"/>
      <c r="X3" s="30"/>
      <c r="Y3" s="30"/>
      <c r="Z3" s="30"/>
      <c r="AA3" s="30"/>
      <c r="AB3" s="30"/>
      <c r="AC3" s="30"/>
      <c r="AD3" s="30"/>
      <c r="AE3" s="31"/>
    </row>
    <row r="4" spans="1:31" x14ac:dyDescent="0.25">
      <c r="A4" s="32">
        <v>1</v>
      </c>
      <c r="B4" s="33" t="s">
        <v>48</v>
      </c>
      <c r="C4" s="34" t="s">
        <v>49</v>
      </c>
      <c r="D4" s="34" t="s">
        <v>50</v>
      </c>
      <c r="E4" s="34" t="s">
        <v>51</v>
      </c>
      <c r="F4" s="35" t="s">
        <v>52</v>
      </c>
      <c r="G4" s="35">
        <v>30062</v>
      </c>
      <c r="H4" s="33" t="s">
        <v>53</v>
      </c>
      <c r="I4" s="37" t="s">
        <v>54</v>
      </c>
      <c r="J4" s="70">
        <v>157665</v>
      </c>
      <c r="K4" s="23"/>
      <c r="L4" s="300" t="s">
        <v>55</v>
      </c>
      <c r="M4" s="301"/>
      <c r="N4" s="301"/>
      <c r="O4" s="301"/>
      <c r="P4" s="301"/>
      <c r="Q4" s="301"/>
      <c r="R4" s="301"/>
      <c r="S4" s="301"/>
      <c r="T4" s="301"/>
      <c r="U4" s="301"/>
      <c r="V4" s="301"/>
      <c r="W4" s="301"/>
      <c r="X4" s="301"/>
      <c r="Y4" s="301"/>
      <c r="Z4" s="301"/>
      <c r="AA4" s="301"/>
      <c r="AB4" s="301"/>
      <c r="AC4" s="301"/>
      <c r="AD4" s="301"/>
      <c r="AE4" s="302"/>
    </row>
    <row r="5" spans="1:31" x14ac:dyDescent="0.25">
      <c r="A5" s="32">
        <v>2</v>
      </c>
      <c r="B5" s="39" t="s">
        <v>56</v>
      </c>
      <c r="C5" s="39" t="s">
        <v>57</v>
      </c>
      <c r="D5" s="39" t="s">
        <v>58</v>
      </c>
      <c r="E5" s="39" t="s">
        <v>51</v>
      </c>
      <c r="F5" s="40" t="s">
        <v>52</v>
      </c>
      <c r="G5" s="40">
        <v>30063</v>
      </c>
      <c r="H5" s="42" t="s">
        <v>59</v>
      </c>
      <c r="I5" s="43" t="s">
        <v>60</v>
      </c>
      <c r="J5" s="71">
        <v>156340</v>
      </c>
      <c r="K5" s="23"/>
      <c r="L5" s="45"/>
      <c r="M5" s="46"/>
      <c r="N5" s="46"/>
      <c r="O5" s="46"/>
      <c r="P5" s="46"/>
      <c r="Q5" s="46"/>
      <c r="R5" s="46"/>
      <c r="S5" s="46"/>
      <c r="T5" s="46"/>
      <c r="U5" s="46"/>
      <c r="V5" s="46"/>
      <c r="W5" s="46"/>
      <c r="X5" s="46"/>
      <c r="Y5" s="46"/>
      <c r="Z5" s="46"/>
      <c r="AA5" s="46"/>
      <c r="AB5" s="46"/>
      <c r="AC5" s="46"/>
      <c r="AD5" s="46"/>
      <c r="AE5" s="47"/>
    </row>
    <row r="6" spans="1:31" x14ac:dyDescent="0.25">
      <c r="A6" s="32">
        <v>3</v>
      </c>
      <c r="B6" s="39" t="s">
        <v>61</v>
      </c>
      <c r="C6" s="42" t="s">
        <v>62</v>
      </c>
      <c r="D6" s="39" t="s">
        <v>63</v>
      </c>
      <c r="E6" s="39" t="s">
        <v>51</v>
      </c>
      <c r="F6" s="40" t="s">
        <v>52</v>
      </c>
      <c r="G6" s="40">
        <v>30064</v>
      </c>
      <c r="H6" s="42" t="s">
        <v>64</v>
      </c>
      <c r="I6" s="43" t="s">
        <v>65</v>
      </c>
      <c r="J6" s="71">
        <v>81480</v>
      </c>
      <c r="K6" s="23"/>
      <c r="L6" s="45"/>
      <c r="M6" s="48" t="s">
        <v>39</v>
      </c>
      <c r="N6" s="46"/>
      <c r="O6" s="46"/>
      <c r="P6" s="49" t="str">
        <f ca="1">OFFSET($B$3,COUNTA($B:$B)-1,0)</f>
        <v>Collins</v>
      </c>
      <c r="Q6" s="50"/>
      <c r="R6" s="50"/>
      <c r="S6" s="50"/>
      <c r="T6" s="50"/>
      <c r="U6" s="51"/>
      <c r="V6" s="46"/>
      <c r="W6" s="52" t="s">
        <v>42</v>
      </c>
      <c r="X6" s="46"/>
      <c r="Y6" s="49" t="str">
        <f ca="1">OFFSET($B$3,COUNTA($B:$B)-1,3)</f>
        <v>Norcross</v>
      </c>
      <c r="Z6" s="50"/>
      <c r="AA6" s="50"/>
      <c r="AB6" s="50"/>
      <c r="AC6" s="50"/>
      <c r="AD6" s="51"/>
      <c r="AE6" s="47"/>
    </row>
    <row r="7" spans="1:31" x14ac:dyDescent="0.25">
      <c r="A7" s="32">
        <v>4</v>
      </c>
      <c r="B7" s="39" t="s">
        <v>66</v>
      </c>
      <c r="C7" s="42" t="s">
        <v>67</v>
      </c>
      <c r="D7" s="39" t="s">
        <v>68</v>
      </c>
      <c r="E7" s="39" t="s">
        <v>51</v>
      </c>
      <c r="F7" s="40" t="s">
        <v>52</v>
      </c>
      <c r="G7" s="40">
        <v>30065</v>
      </c>
      <c r="H7" s="42" t="s">
        <v>69</v>
      </c>
      <c r="I7" s="43" t="s">
        <v>54</v>
      </c>
      <c r="J7" s="71">
        <v>202578</v>
      </c>
      <c r="K7" s="23"/>
      <c r="L7" s="45"/>
      <c r="M7" s="46"/>
      <c r="N7" s="46"/>
      <c r="O7" s="46"/>
      <c r="P7" s="46"/>
      <c r="Q7" s="46"/>
      <c r="R7" s="46"/>
      <c r="S7" s="46"/>
      <c r="T7" s="46"/>
      <c r="U7" s="46"/>
      <c r="V7" s="46"/>
      <c r="W7" s="46"/>
      <c r="X7" s="46"/>
      <c r="Y7" s="46"/>
      <c r="Z7" s="46"/>
      <c r="AA7" s="46"/>
      <c r="AB7" s="46"/>
      <c r="AC7" s="46"/>
      <c r="AD7" s="46"/>
      <c r="AE7" s="47"/>
    </row>
    <row r="8" spans="1:31" x14ac:dyDescent="0.25">
      <c r="A8" s="32">
        <v>5</v>
      </c>
      <c r="B8" s="42" t="s">
        <v>70</v>
      </c>
      <c r="C8" s="39" t="s">
        <v>71</v>
      </c>
      <c r="D8" s="39" t="s">
        <v>72</v>
      </c>
      <c r="E8" s="39" t="s">
        <v>51</v>
      </c>
      <c r="F8" s="40" t="s">
        <v>52</v>
      </c>
      <c r="G8" s="40">
        <v>30066</v>
      </c>
      <c r="H8" s="42" t="s">
        <v>73</v>
      </c>
      <c r="I8" s="43" t="s">
        <v>60</v>
      </c>
      <c r="J8" s="71">
        <v>177209</v>
      </c>
      <c r="K8" s="23"/>
      <c r="L8" s="45"/>
      <c r="M8" s="48" t="s">
        <v>40</v>
      </c>
      <c r="N8" s="46"/>
      <c r="O8" s="46"/>
      <c r="P8" s="49" t="str">
        <f ca="1">OFFSET($B$3,COUNTA($B:$B)-1,1)</f>
        <v>Carlton</v>
      </c>
      <c r="Q8" s="50"/>
      <c r="R8" s="50"/>
      <c r="S8" s="50"/>
      <c r="T8" s="50"/>
      <c r="U8" s="51"/>
      <c r="V8" s="46"/>
      <c r="W8" s="52" t="s">
        <v>43</v>
      </c>
      <c r="X8" s="46"/>
      <c r="Y8" s="49" t="str">
        <f ca="1">OFFSET($B$3,COUNTA($B:$B)-1,4)</f>
        <v xml:space="preserve">GA </v>
      </c>
      <c r="Z8" s="50"/>
      <c r="AA8" s="50"/>
      <c r="AB8" s="50"/>
      <c r="AC8" s="50"/>
      <c r="AD8" s="51"/>
      <c r="AE8" s="47"/>
    </row>
    <row r="9" spans="1:31" x14ac:dyDescent="0.25">
      <c r="A9" s="32">
        <v>6</v>
      </c>
      <c r="B9" s="39" t="s">
        <v>74</v>
      </c>
      <c r="C9" s="39" t="s">
        <v>75</v>
      </c>
      <c r="D9" s="39" t="s">
        <v>76</v>
      </c>
      <c r="E9" s="39" t="s">
        <v>77</v>
      </c>
      <c r="F9" s="40" t="s">
        <v>52</v>
      </c>
      <c r="G9" s="40">
        <v>30092</v>
      </c>
      <c r="H9" s="42" t="s">
        <v>78</v>
      </c>
      <c r="I9" s="43" t="s">
        <v>65</v>
      </c>
      <c r="J9" s="71">
        <v>212254.23</v>
      </c>
      <c r="K9" s="23"/>
      <c r="L9" s="45"/>
      <c r="M9" s="46"/>
      <c r="N9" s="46"/>
      <c r="O9" s="46"/>
      <c r="P9" s="46"/>
      <c r="Q9" s="46"/>
      <c r="R9" s="46"/>
      <c r="S9" s="46"/>
      <c r="T9" s="46"/>
      <c r="U9" s="46"/>
      <c r="V9" s="46"/>
      <c r="W9" s="46"/>
      <c r="X9" s="46"/>
      <c r="Y9" s="46"/>
      <c r="Z9" s="46"/>
      <c r="AA9" s="46"/>
      <c r="AB9" s="46"/>
      <c r="AC9" s="46"/>
      <c r="AD9" s="46"/>
      <c r="AE9" s="47"/>
    </row>
    <row r="10" spans="1:31" x14ac:dyDescent="0.25">
      <c r="A10" s="32">
        <v>7</v>
      </c>
      <c r="B10" s="39" t="s">
        <v>79</v>
      </c>
      <c r="C10" s="39" t="s">
        <v>80</v>
      </c>
      <c r="D10" s="39" t="s">
        <v>50</v>
      </c>
      <c r="E10" s="39" t="s">
        <v>81</v>
      </c>
      <c r="F10" s="40" t="s">
        <v>82</v>
      </c>
      <c r="G10" s="40">
        <v>30092</v>
      </c>
      <c r="H10" s="42" t="s">
        <v>53</v>
      </c>
      <c r="I10" s="43" t="s">
        <v>54</v>
      </c>
      <c r="J10" s="71">
        <v>124533.45</v>
      </c>
      <c r="K10" s="23"/>
      <c r="L10" s="45"/>
      <c r="M10" s="48" t="s">
        <v>41</v>
      </c>
      <c r="N10" s="46"/>
      <c r="O10" s="46"/>
      <c r="P10" s="49" t="str">
        <f ca="1">OFFSET($B$3,COUNTA($B:$B)-1,2)</f>
        <v>100 Peachtree Street</v>
      </c>
      <c r="Q10" s="50"/>
      <c r="R10" s="50"/>
      <c r="S10" s="50"/>
      <c r="T10" s="50"/>
      <c r="U10" s="51"/>
      <c r="V10" s="46"/>
      <c r="W10" s="52" t="s">
        <v>44</v>
      </c>
      <c r="X10" s="46"/>
      <c r="Y10" s="306">
        <f ca="1">OFFSET($B$3,COUNTA($B:$B)-1,5)</f>
        <v>30092</v>
      </c>
      <c r="Z10" s="314"/>
      <c r="AA10" s="314"/>
      <c r="AB10" s="314"/>
      <c r="AC10" s="314"/>
      <c r="AD10" s="315"/>
      <c r="AE10" s="47"/>
    </row>
    <row r="11" spans="1:31" x14ac:dyDescent="0.25">
      <c r="A11" s="32">
        <v>8</v>
      </c>
      <c r="B11" s="39"/>
      <c r="C11" s="39"/>
      <c r="D11" s="39"/>
      <c r="E11" s="39"/>
      <c r="F11" s="39"/>
      <c r="G11" s="39"/>
      <c r="H11" s="39"/>
      <c r="I11" s="40"/>
      <c r="J11" s="39"/>
      <c r="K11" s="23"/>
      <c r="L11" s="45"/>
      <c r="M11" s="46"/>
      <c r="N11" s="46"/>
      <c r="O11" s="46"/>
      <c r="P11" s="46"/>
      <c r="Q11" s="46"/>
      <c r="R11" s="46"/>
      <c r="S11" s="46"/>
      <c r="T11" s="46"/>
      <c r="U11" s="46"/>
      <c r="V11" s="46"/>
      <c r="W11" s="46"/>
      <c r="X11" s="46"/>
      <c r="Y11" s="46"/>
      <c r="Z11" s="46"/>
      <c r="AA11" s="46"/>
      <c r="AB11" s="46"/>
      <c r="AC11" s="46"/>
      <c r="AD11" s="46"/>
      <c r="AE11" s="47"/>
    </row>
    <row r="12" spans="1:31" x14ac:dyDescent="0.25">
      <c r="A12" s="32">
        <v>9</v>
      </c>
      <c r="B12" s="39"/>
      <c r="C12" s="39"/>
      <c r="D12" s="39"/>
      <c r="E12" s="39"/>
      <c r="F12" s="39"/>
      <c r="G12" s="39"/>
      <c r="H12" s="39"/>
      <c r="I12" s="40"/>
      <c r="J12" s="39"/>
      <c r="K12" s="23"/>
      <c r="L12" s="45"/>
      <c r="M12" s="52" t="s">
        <v>45</v>
      </c>
      <c r="N12" s="46"/>
      <c r="O12" s="46"/>
      <c r="P12" s="49" t="str">
        <f ca="1">OFFSET($B$3,COUNTA($B:$B)-1,6)</f>
        <v>770.842.5902</v>
      </c>
      <c r="Q12" s="50"/>
      <c r="R12" s="50"/>
      <c r="S12" s="50"/>
      <c r="T12" s="50"/>
      <c r="U12" s="51"/>
      <c r="V12" s="46"/>
      <c r="W12" s="60" t="s">
        <v>99</v>
      </c>
      <c r="X12" s="46"/>
      <c r="Y12" s="49" t="str">
        <f ca="1">OFFSET($B$3,COUNTA($B:$B)-1,7)</f>
        <v>Plan A</v>
      </c>
      <c r="Z12" s="50"/>
      <c r="AA12" s="50"/>
      <c r="AB12" s="50"/>
      <c r="AC12" s="50"/>
      <c r="AD12" s="51"/>
      <c r="AE12" s="47"/>
    </row>
    <row r="13" spans="1:31" x14ac:dyDescent="0.25">
      <c r="A13" s="32">
        <v>10</v>
      </c>
      <c r="B13" s="39"/>
      <c r="C13" s="39"/>
      <c r="D13" s="39"/>
      <c r="E13" s="39"/>
      <c r="F13" s="39"/>
      <c r="G13" s="39"/>
      <c r="H13" s="39"/>
      <c r="I13" s="40"/>
      <c r="J13" s="39"/>
      <c r="K13" s="23"/>
      <c r="L13" s="45"/>
      <c r="M13" s="46"/>
      <c r="N13" s="46"/>
      <c r="O13" s="46"/>
      <c r="P13" s="46"/>
      <c r="Q13" s="46"/>
      <c r="R13" s="46"/>
      <c r="S13" s="46"/>
      <c r="T13" s="46"/>
      <c r="U13" s="46"/>
      <c r="V13" s="46"/>
      <c r="W13" s="46"/>
      <c r="X13" s="46"/>
      <c r="Y13" s="46"/>
      <c r="Z13" s="46"/>
      <c r="AA13" s="46"/>
      <c r="AB13" s="46"/>
      <c r="AC13" s="46"/>
      <c r="AD13" s="46"/>
      <c r="AE13" s="47"/>
    </row>
    <row r="14" spans="1:31" x14ac:dyDescent="0.25">
      <c r="A14" s="32">
        <v>11</v>
      </c>
      <c r="B14" s="39"/>
      <c r="C14" s="39"/>
      <c r="D14" s="39"/>
      <c r="E14" s="39"/>
      <c r="F14" s="39"/>
      <c r="G14" s="39"/>
      <c r="H14" s="39"/>
      <c r="I14" s="40"/>
      <c r="J14" s="39"/>
      <c r="K14" s="23"/>
      <c r="L14" s="45"/>
      <c r="M14" s="52" t="s">
        <v>90</v>
      </c>
      <c r="N14" s="46"/>
      <c r="O14" s="46"/>
      <c r="P14" s="46"/>
      <c r="Q14" s="46"/>
      <c r="R14" s="46"/>
      <c r="S14" s="46"/>
      <c r="T14" s="46"/>
      <c r="U14" s="46"/>
      <c r="V14" s="46"/>
      <c r="W14" s="46"/>
      <c r="X14" s="46"/>
      <c r="Y14" s="364">
        <f ca="1">OFFSET($B$3,COUNTA($B:$B)-1,8)</f>
        <v>124533.45</v>
      </c>
      <c r="Z14" s="319"/>
      <c r="AA14" s="319"/>
      <c r="AB14" s="319"/>
      <c r="AC14" s="319"/>
      <c r="AD14" s="320"/>
      <c r="AE14" s="47"/>
    </row>
    <row r="15" spans="1:31" x14ac:dyDescent="0.25">
      <c r="A15" s="32">
        <v>12</v>
      </c>
      <c r="B15" s="39"/>
      <c r="C15" s="39"/>
      <c r="D15" s="39"/>
      <c r="E15" s="39"/>
      <c r="F15" s="39"/>
      <c r="G15" s="39"/>
      <c r="H15" s="39"/>
      <c r="I15" s="40"/>
      <c r="J15" s="39"/>
      <c r="K15" s="23"/>
      <c r="L15" s="45"/>
      <c r="M15" s="46"/>
      <c r="N15" s="46"/>
      <c r="O15" s="46"/>
      <c r="P15" s="46"/>
      <c r="Q15" s="46"/>
      <c r="R15" s="46"/>
      <c r="S15" s="46"/>
      <c r="T15" s="46"/>
      <c r="U15" s="46"/>
      <c r="V15" s="46"/>
      <c r="W15" s="46"/>
      <c r="X15" s="46"/>
      <c r="Y15" s="46"/>
      <c r="Z15" s="46"/>
      <c r="AA15" s="46"/>
      <c r="AB15" s="46"/>
      <c r="AC15" s="46"/>
      <c r="AD15" s="46"/>
      <c r="AE15" s="47"/>
    </row>
    <row r="16" spans="1:31" x14ac:dyDescent="0.25">
      <c r="A16" s="32">
        <v>13</v>
      </c>
      <c r="B16" s="39"/>
      <c r="C16" s="39"/>
      <c r="D16" s="39"/>
      <c r="E16" s="39"/>
      <c r="F16" s="39"/>
      <c r="G16" s="39"/>
      <c r="H16" s="39"/>
      <c r="I16" s="40"/>
      <c r="J16" s="39"/>
      <c r="K16" s="23"/>
      <c r="L16" s="303" t="s">
        <v>91</v>
      </c>
      <c r="M16" s="304"/>
      <c r="N16" s="304"/>
      <c r="O16" s="304"/>
      <c r="P16" s="304"/>
      <c r="Q16" s="304"/>
      <c r="R16" s="304"/>
      <c r="S16" s="304"/>
      <c r="T16" s="304"/>
      <c r="U16" s="304"/>
      <c r="V16" s="304"/>
      <c r="W16" s="304"/>
      <c r="X16" s="304"/>
      <c r="Y16" s="304"/>
      <c r="Z16" s="304"/>
      <c r="AA16" s="304"/>
      <c r="AB16" s="304"/>
      <c r="AC16" s="304"/>
      <c r="AD16" s="304"/>
      <c r="AE16" s="305"/>
    </row>
    <row r="17" spans="1:31" ht="16.5" thickBot="1" x14ac:dyDescent="0.3">
      <c r="A17" s="32">
        <v>14</v>
      </c>
      <c r="B17" s="39"/>
      <c r="C17" s="39"/>
      <c r="D17" s="39"/>
      <c r="E17" s="39"/>
      <c r="F17" s="39"/>
      <c r="G17" s="39"/>
      <c r="H17" s="39"/>
      <c r="I17" s="40"/>
      <c r="J17" s="39"/>
      <c r="K17" s="23"/>
      <c r="L17" s="61"/>
      <c r="M17" s="62"/>
      <c r="N17" s="62"/>
      <c r="O17" s="62"/>
      <c r="P17" s="62"/>
      <c r="Q17" s="62"/>
      <c r="R17" s="62"/>
      <c r="S17" s="62"/>
      <c r="T17" s="62"/>
      <c r="U17" s="62"/>
      <c r="V17" s="62"/>
      <c r="W17" s="62"/>
      <c r="X17" s="62"/>
      <c r="Y17" s="62"/>
      <c r="Z17" s="62"/>
      <c r="AA17" s="62"/>
      <c r="AB17" s="62"/>
      <c r="AC17" s="62"/>
      <c r="AD17" s="62"/>
      <c r="AE17" s="63"/>
    </row>
    <row r="18" spans="1:31" x14ac:dyDescent="0.25">
      <c r="A18" s="32">
        <v>15</v>
      </c>
      <c r="B18" s="39"/>
      <c r="C18" s="39"/>
      <c r="D18" s="39"/>
      <c r="E18" s="39"/>
      <c r="F18" s="39"/>
      <c r="G18" s="39"/>
      <c r="H18" s="39"/>
      <c r="I18" s="40"/>
      <c r="J18" s="39"/>
      <c r="K18" s="23"/>
      <c r="L18" s="23"/>
      <c r="M18" s="23"/>
      <c r="N18" s="23"/>
      <c r="O18" s="23"/>
      <c r="P18" s="23"/>
      <c r="Q18" s="23"/>
      <c r="R18" s="23"/>
      <c r="S18" s="23"/>
      <c r="T18" s="23"/>
      <c r="U18" s="23"/>
      <c r="V18" s="23"/>
      <c r="W18" s="23"/>
      <c r="X18" s="23"/>
      <c r="Y18" s="23"/>
      <c r="Z18" s="23"/>
      <c r="AA18" s="23"/>
      <c r="AB18" s="23"/>
      <c r="AC18" s="23"/>
      <c r="AD18" s="23"/>
      <c r="AE18" s="23"/>
    </row>
    <row r="19" spans="1:31" x14ac:dyDescent="0.25">
      <c r="A19" s="32">
        <v>16</v>
      </c>
      <c r="B19" s="39"/>
      <c r="C19" s="39"/>
      <c r="D19" s="39"/>
      <c r="E19" s="39"/>
      <c r="F19" s="39"/>
      <c r="G19" s="39"/>
      <c r="H19" s="39"/>
      <c r="I19" s="40"/>
      <c r="J19" s="39"/>
      <c r="K19" s="23"/>
      <c r="L19" s="23"/>
      <c r="M19" s="23"/>
      <c r="N19" s="23"/>
      <c r="O19" s="23"/>
      <c r="P19" s="23"/>
      <c r="Q19" s="23"/>
      <c r="R19" s="23"/>
      <c r="S19" s="23"/>
      <c r="T19" s="23"/>
      <c r="U19" s="23"/>
      <c r="V19" s="23"/>
      <c r="W19" s="23"/>
      <c r="X19" s="23"/>
      <c r="Y19" s="23"/>
      <c r="Z19" s="23"/>
      <c r="AA19" s="23"/>
      <c r="AB19" s="23"/>
      <c r="AC19" s="23"/>
      <c r="AD19" s="23"/>
      <c r="AE19" s="23"/>
    </row>
    <row r="20" spans="1:31" x14ac:dyDescent="0.25">
      <c r="A20" s="32">
        <v>17</v>
      </c>
      <c r="B20" s="39"/>
      <c r="C20" s="39"/>
      <c r="D20" s="39"/>
      <c r="E20" s="39"/>
      <c r="F20" s="39"/>
      <c r="G20" s="39"/>
      <c r="H20" s="39"/>
      <c r="I20" s="40"/>
      <c r="J20" s="39"/>
      <c r="K20" s="23"/>
      <c r="L20" s="23"/>
      <c r="M20" s="23"/>
      <c r="N20" s="23"/>
      <c r="O20" s="23"/>
      <c r="P20" s="23"/>
      <c r="Q20" s="23"/>
      <c r="R20" s="23"/>
      <c r="S20" s="23"/>
      <c r="T20" s="23"/>
      <c r="U20" s="23"/>
      <c r="V20" s="23"/>
      <c r="W20" s="23"/>
      <c r="X20" s="23"/>
      <c r="Y20" s="23"/>
      <c r="Z20" s="23"/>
      <c r="AA20" s="23"/>
      <c r="AB20" s="23"/>
      <c r="AC20" s="23"/>
      <c r="AD20" s="23"/>
      <c r="AE20" s="23"/>
    </row>
    <row r="21" spans="1:31" x14ac:dyDescent="0.25">
      <c r="A21" s="32">
        <v>18</v>
      </c>
      <c r="B21" s="39"/>
      <c r="C21" s="39"/>
      <c r="D21" s="39"/>
      <c r="E21" s="39"/>
      <c r="F21" s="39"/>
      <c r="G21" s="39"/>
      <c r="H21" s="39"/>
      <c r="I21" s="40"/>
      <c r="J21" s="39"/>
      <c r="K21" s="23"/>
      <c r="L21" s="23"/>
      <c r="M21" s="23"/>
      <c r="N21" s="23"/>
      <c r="O21" s="23"/>
      <c r="P21" s="23"/>
      <c r="Q21" s="23"/>
      <c r="R21" s="23"/>
      <c r="S21" s="23"/>
      <c r="T21" s="23"/>
      <c r="U21" s="23"/>
      <c r="V21" s="23"/>
      <c r="W21" s="23"/>
      <c r="X21" s="23"/>
      <c r="Y21" s="23"/>
      <c r="Z21" s="23"/>
      <c r="AA21" s="23"/>
      <c r="AB21" s="23"/>
      <c r="AC21" s="23"/>
      <c r="AD21" s="23"/>
      <c r="AE21" s="23"/>
    </row>
    <row r="22" spans="1:31" x14ac:dyDescent="0.25">
      <c r="A22" s="32">
        <v>19</v>
      </c>
      <c r="B22" s="39"/>
      <c r="C22" s="39"/>
      <c r="D22" s="39"/>
      <c r="E22" s="39"/>
      <c r="F22" s="39"/>
      <c r="G22" s="39"/>
      <c r="H22" s="39"/>
      <c r="I22" s="40"/>
      <c r="J22" s="39"/>
      <c r="K22" s="23"/>
      <c r="L22" s="23"/>
      <c r="M22" s="23"/>
      <c r="N22" s="23"/>
      <c r="O22" s="23"/>
      <c r="P22" s="23"/>
      <c r="Q22" s="23"/>
      <c r="R22" s="23"/>
      <c r="S22" s="23"/>
      <c r="T22" s="23"/>
      <c r="U22" s="23"/>
      <c r="V22" s="23"/>
      <c r="W22" s="23"/>
      <c r="X22" s="23"/>
      <c r="Y22" s="23"/>
      <c r="Z22" s="23"/>
      <c r="AA22" s="23"/>
      <c r="AB22" s="23"/>
      <c r="AC22" s="23"/>
      <c r="AD22" s="23"/>
      <c r="AE22" s="23"/>
    </row>
    <row r="23" spans="1:31" x14ac:dyDescent="0.25">
      <c r="A23" s="32">
        <v>20</v>
      </c>
      <c r="B23" s="39"/>
      <c r="C23" s="39"/>
      <c r="D23" s="39"/>
      <c r="E23" s="39"/>
      <c r="F23" s="39"/>
      <c r="G23" s="39"/>
      <c r="H23" s="39"/>
      <c r="I23" s="40"/>
      <c r="J23" s="39"/>
      <c r="K23" s="23"/>
      <c r="L23" s="23"/>
      <c r="M23" s="23"/>
      <c r="N23" s="23"/>
      <c r="O23" s="23"/>
      <c r="P23" s="23"/>
      <c r="Q23" s="23"/>
      <c r="R23" s="23"/>
      <c r="S23" s="23"/>
      <c r="T23" s="23"/>
      <c r="U23" s="23"/>
      <c r="V23" s="23"/>
      <c r="W23" s="23"/>
      <c r="X23" s="23"/>
      <c r="Y23" s="23"/>
      <c r="Z23" s="23"/>
      <c r="AA23" s="23"/>
      <c r="AB23" s="23"/>
      <c r="AC23" s="23"/>
      <c r="AD23" s="23"/>
      <c r="AE23" s="23"/>
    </row>
    <row r="24" spans="1:31" x14ac:dyDescent="0.25">
      <c r="A24" s="32">
        <v>21</v>
      </c>
      <c r="B24" s="39"/>
      <c r="C24" s="39"/>
      <c r="D24" s="39"/>
      <c r="E24" s="39"/>
      <c r="F24" s="39"/>
      <c r="G24" s="39"/>
      <c r="H24" s="39"/>
      <c r="I24" s="40"/>
      <c r="J24" s="39"/>
      <c r="K24" s="23"/>
      <c r="L24" s="23"/>
      <c r="M24" s="23"/>
      <c r="N24" s="23"/>
      <c r="O24" s="23"/>
      <c r="P24" s="23"/>
      <c r="Q24" s="23"/>
      <c r="R24" s="23"/>
      <c r="S24" s="23"/>
      <c r="T24" s="23"/>
      <c r="U24" s="23"/>
      <c r="V24" s="23"/>
      <c r="W24" s="23"/>
      <c r="X24" s="23"/>
      <c r="Y24" s="23"/>
      <c r="Z24" s="23"/>
      <c r="AA24" s="23"/>
      <c r="AB24" s="23"/>
      <c r="AC24" s="23"/>
      <c r="AD24" s="23"/>
      <c r="AE24" s="23"/>
    </row>
    <row r="25" spans="1:31" x14ac:dyDescent="0.25">
      <c r="A25" s="32">
        <v>22</v>
      </c>
      <c r="B25" s="39"/>
      <c r="C25" s="39"/>
      <c r="D25" s="39"/>
      <c r="E25" s="39"/>
      <c r="F25" s="39"/>
      <c r="G25" s="39"/>
      <c r="H25" s="39"/>
      <c r="I25" s="40"/>
      <c r="J25" s="39"/>
      <c r="K25" s="23"/>
      <c r="L25" s="23"/>
      <c r="M25" s="23"/>
      <c r="N25" s="23"/>
      <c r="O25" s="23"/>
      <c r="P25" s="23"/>
      <c r="Q25" s="23"/>
      <c r="R25" s="23"/>
      <c r="S25" s="23"/>
      <c r="T25" s="23"/>
      <c r="U25" s="23"/>
      <c r="V25" s="23"/>
      <c r="W25" s="23"/>
      <c r="X25" s="23"/>
      <c r="Y25" s="23"/>
      <c r="Z25" s="23"/>
      <c r="AA25" s="23"/>
      <c r="AB25" s="23"/>
      <c r="AC25" s="23"/>
      <c r="AD25" s="23"/>
      <c r="AE25" s="23"/>
    </row>
    <row r="26" spans="1:31" x14ac:dyDescent="0.25">
      <c r="A26" s="32">
        <v>23</v>
      </c>
      <c r="B26" s="39"/>
      <c r="C26" s="39"/>
      <c r="D26" s="39"/>
      <c r="E26" s="39"/>
      <c r="F26" s="39"/>
      <c r="G26" s="39"/>
      <c r="H26" s="39"/>
      <c r="I26" s="40"/>
      <c r="J26" s="39"/>
      <c r="K26" s="23"/>
      <c r="L26" s="23"/>
      <c r="M26" s="23"/>
      <c r="N26" s="23"/>
      <c r="O26" s="23"/>
      <c r="P26" s="23"/>
      <c r="Q26" s="23"/>
      <c r="R26" s="23"/>
      <c r="S26" s="23"/>
      <c r="T26" s="23"/>
      <c r="U26" s="23"/>
      <c r="V26" s="23"/>
      <c r="W26" s="23"/>
      <c r="X26" s="23"/>
      <c r="Y26" s="23"/>
      <c r="Z26" s="23"/>
      <c r="AA26" s="23"/>
      <c r="AB26" s="23"/>
      <c r="AC26" s="23"/>
      <c r="AD26" s="23"/>
      <c r="AE26" s="23"/>
    </row>
    <row r="27" spans="1:31" x14ac:dyDescent="0.25">
      <c r="A27" s="32">
        <v>24</v>
      </c>
      <c r="B27" s="39"/>
      <c r="C27" s="39"/>
      <c r="D27" s="39"/>
      <c r="E27" s="39"/>
      <c r="F27" s="39"/>
      <c r="G27" s="39"/>
      <c r="H27" s="39"/>
      <c r="I27" s="40"/>
      <c r="J27" s="39"/>
      <c r="K27" s="23"/>
      <c r="L27" s="23"/>
      <c r="M27" s="23"/>
      <c r="N27" s="23"/>
      <c r="O27" s="23"/>
      <c r="P27" s="23"/>
      <c r="Q27" s="23"/>
      <c r="R27" s="23"/>
      <c r="S27" s="23"/>
      <c r="T27" s="23"/>
      <c r="U27" s="23"/>
      <c r="V27" s="23"/>
      <c r="W27" s="23"/>
      <c r="X27" s="23"/>
      <c r="Y27" s="23"/>
      <c r="Z27" s="23"/>
      <c r="AA27" s="23"/>
      <c r="AB27" s="23"/>
      <c r="AC27" s="23"/>
      <c r="AD27" s="23"/>
      <c r="AE27" s="23"/>
    </row>
  </sheetData>
  <mergeCells count="4">
    <mergeCell ref="L4:AE4"/>
    <mergeCell ref="Y10:AD10"/>
    <mergeCell ref="Y14:AD14"/>
    <mergeCell ref="L16:AE16"/>
  </mergeCells>
  <pageMargins left="0.7" right="0.7" top="0.75" bottom="0.75" header="0.3" footer="0.3"/>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dimension ref="A1:AH30"/>
  <sheetViews>
    <sheetView showGridLines="0" topLeftCell="B1" workbookViewId="0">
      <selection activeCell="Q1" sqref="Q1"/>
    </sheetView>
  </sheetViews>
  <sheetFormatPr defaultRowHeight="15.75" x14ac:dyDescent="0.25"/>
  <cols>
    <col min="1" max="1" width="0" hidden="1" customWidth="1"/>
    <col min="2" max="2" width="7.875" bestFit="1" customWidth="1"/>
    <col min="3" max="4" width="10" bestFit="1" customWidth="1"/>
    <col min="5" max="5" width="19" bestFit="1" customWidth="1"/>
    <col min="6" max="6" width="9" bestFit="1" customWidth="1"/>
    <col min="7" max="7" width="5.375" bestFit="1" customWidth="1"/>
    <col min="8" max="8" width="5.875" bestFit="1" customWidth="1"/>
    <col min="9" max="9" width="11.875" bestFit="1" customWidth="1"/>
    <col min="10" max="10" width="11.875" customWidth="1"/>
    <col min="11" max="11" width="12.125" bestFit="1" customWidth="1"/>
    <col min="12" max="12" width="3.75" customWidth="1"/>
    <col min="13" max="32" width="3.625" customWidth="1"/>
    <col min="33" max="33" width="3" customWidth="1"/>
  </cols>
  <sheetData>
    <row r="1" spans="1:34" x14ac:dyDescent="0.25">
      <c r="A1" s="18"/>
      <c r="B1" s="16"/>
      <c r="C1" s="16"/>
      <c r="D1" s="16"/>
      <c r="E1" s="16"/>
      <c r="F1" s="16"/>
      <c r="G1" s="16"/>
      <c r="H1" s="16"/>
      <c r="I1" s="16"/>
      <c r="J1" s="16"/>
      <c r="K1" s="16"/>
      <c r="L1" s="16"/>
      <c r="M1" s="16"/>
      <c r="N1" s="16"/>
      <c r="O1" s="16"/>
      <c r="P1" s="16"/>
      <c r="Q1" s="16"/>
      <c r="R1" s="16"/>
      <c r="S1" s="16"/>
      <c r="T1" s="17">
        <f t="shared" ref="T1:AC1" si="0">VLOOKUP(MAX($B$3:$B$147),$B$3:$I$147,2)</f>
        <v>0</v>
      </c>
      <c r="U1" s="17">
        <f t="shared" si="0"/>
        <v>0</v>
      </c>
      <c r="V1" s="17">
        <f t="shared" si="0"/>
        <v>0</v>
      </c>
      <c r="W1" s="17">
        <f t="shared" si="0"/>
        <v>0</v>
      </c>
      <c r="X1" s="17">
        <f t="shared" si="0"/>
        <v>0</v>
      </c>
      <c r="Y1" s="17">
        <f t="shared" si="0"/>
        <v>0</v>
      </c>
      <c r="Z1" s="17">
        <f t="shared" si="0"/>
        <v>0</v>
      </c>
      <c r="AA1" s="17">
        <f t="shared" si="0"/>
        <v>0</v>
      </c>
      <c r="AB1" s="17">
        <f t="shared" si="0"/>
        <v>0</v>
      </c>
      <c r="AC1" s="17">
        <f t="shared" si="0"/>
        <v>0</v>
      </c>
      <c r="AD1" s="18"/>
      <c r="AE1" s="18"/>
      <c r="AF1" s="18"/>
      <c r="AG1" s="18"/>
      <c r="AH1" s="18"/>
    </row>
    <row r="2" spans="1:34" ht="16.5" thickBot="1" x14ac:dyDescent="0.3">
      <c r="A2" s="23"/>
      <c r="B2" s="73"/>
      <c r="C2" s="20"/>
      <c r="D2" s="20"/>
      <c r="E2" s="20"/>
      <c r="F2" s="20"/>
      <c r="G2" s="22"/>
      <c r="H2" s="20"/>
      <c r="I2" s="20"/>
      <c r="J2" s="22"/>
      <c r="K2" s="20"/>
      <c r="L2" s="23"/>
      <c r="M2" s="23"/>
      <c r="N2" s="23"/>
      <c r="O2" s="23"/>
      <c r="P2" s="23"/>
      <c r="Q2" s="23"/>
      <c r="R2" s="23"/>
      <c r="S2" s="23"/>
      <c r="T2" s="23"/>
      <c r="U2" s="23"/>
      <c r="V2" s="23"/>
      <c r="W2" s="23"/>
      <c r="X2" s="23"/>
      <c r="Y2" s="23"/>
      <c r="Z2" s="23"/>
      <c r="AA2" s="23"/>
      <c r="AB2" s="23"/>
      <c r="AC2" s="23"/>
      <c r="AD2" s="23"/>
      <c r="AE2" s="23"/>
      <c r="AF2" s="23"/>
      <c r="AG2" s="23"/>
      <c r="AH2" s="23"/>
    </row>
    <row r="3" spans="1:34" x14ac:dyDescent="0.25">
      <c r="A3" s="23"/>
      <c r="B3" s="68" t="s">
        <v>38</v>
      </c>
      <c r="C3" s="69" t="s">
        <v>39</v>
      </c>
      <c r="D3" s="69" t="s">
        <v>40</v>
      </c>
      <c r="E3" s="69" t="s">
        <v>41</v>
      </c>
      <c r="F3" s="68" t="s">
        <v>42</v>
      </c>
      <c r="G3" s="68" t="s">
        <v>43</v>
      </c>
      <c r="H3" s="68" t="s">
        <v>44</v>
      </c>
      <c r="I3" s="68" t="s">
        <v>45</v>
      </c>
      <c r="J3" s="68" t="s">
        <v>46</v>
      </c>
      <c r="K3" s="68" t="s">
        <v>47</v>
      </c>
      <c r="L3" s="23"/>
      <c r="M3" s="29"/>
      <c r="N3" s="30"/>
      <c r="O3" s="30"/>
      <c r="P3" s="30"/>
      <c r="Q3" s="30"/>
      <c r="R3" s="30"/>
      <c r="S3" s="30"/>
      <c r="T3" s="30"/>
      <c r="U3" s="30"/>
      <c r="V3" s="30"/>
      <c r="W3" s="30"/>
      <c r="X3" s="30"/>
      <c r="Y3" s="30"/>
      <c r="Z3" s="30"/>
      <c r="AA3" s="30"/>
      <c r="AB3" s="30"/>
      <c r="AC3" s="30"/>
      <c r="AD3" s="30"/>
      <c r="AE3" s="30"/>
      <c r="AF3" s="31"/>
      <c r="AG3" s="23"/>
      <c r="AH3" s="23"/>
    </row>
    <row r="4" spans="1:34" x14ac:dyDescent="0.25">
      <c r="A4" s="23">
        <f>IF(C4&gt;1,1," ")</f>
        <v>1</v>
      </c>
      <c r="B4" s="32">
        <v>1</v>
      </c>
      <c r="C4" s="33" t="s">
        <v>48</v>
      </c>
      <c r="D4" s="34" t="s">
        <v>49</v>
      </c>
      <c r="E4" s="34" t="s">
        <v>50</v>
      </c>
      <c r="F4" s="34" t="s">
        <v>51</v>
      </c>
      <c r="G4" s="35" t="s">
        <v>52</v>
      </c>
      <c r="H4" s="35">
        <v>30062</v>
      </c>
      <c r="I4" s="33" t="s">
        <v>53</v>
      </c>
      <c r="J4" s="37" t="s">
        <v>54</v>
      </c>
      <c r="K4" s="70">
        <v>157665</v>
      </c>
      <c r="L4" s="23"/>
      <c r="M4" s="300" t="s">
        <v>55</v>
      </c>
      <c r="N4" s="301"/>
      <c r="O4" s="301"/>
      <c r="P4" s="301"/>
      <c r="Q4" s="301"/>
      <c r="R4" s="301"/>
      <c r="S4" s="301"/>
      <c r="T4" s="301"/>
      <c r="U4" s="301"/>
      <c r="V4" s="301"/>
      <c r="W4" s="301"/>
      <c r="X4" s="301"/>
      <c r="Y4" s="301"/>
      <c r="Z4" s="301"/>
      <c r="AA4" s="301"/>
      <c r="AB4" s="301"/>
      <c r="AC4" s="301"/>
      <c r="AD4" s="301"/>
      <c r="AE4" s="301"/>
      <c r="AF4" s="302"/>
      <c r="AG4" s="23"/>
      <c r="AH4" s="23"/>
    </row>
    <row r="5" spans="1:34" x14ac:dyDescent="0.25">
      <c r="A5" s="23">
        <f>IF(C5&gt;1,1+A4," ")</f>
        <v>2</v>
      </c>
      <c r="B5" s="32">
        <v>2</v>
      </c>
      <c r="C5" s="39" t="s">
        <v>56</v>
      </c>
      <c r="D5" s="39" t="s">
        <v>57</v>
      </c>
      <c r="E5" s="39" t="s">
        <v>58</v>
      </c>
      <c r="F5" s="39" t="s">
        <v>51</v>
      </c>
      <c r="G5" s="40" t="s">
        <v>52</v>
      </c>
      <c r="H5" s="40">
        <v>30063</v>
      </c>
      <c r="I5" s="42" t="s">
        <v>59</v>
      </c>
      <c r="J5" s="43" t="s">
        <v>60</v>
      </c>
      <c r="K5" s="71">
        <v>156340</v>
      </c>
      <c r="L5" s="23"/>
      <c r="M5" s="45"/>
      <c r="N5" s="46"/>
      <c r="O5" s="46"/>
      <c r="P5" s="46"/>
      <c r="Q5" s="46"/>
      <c r="R5" s="46"/>
      <c r="S5" s="46"/>
      <c r="T5" s="46"/>
      <c r="U5" s="46"/>
      <c r="V5" s="46"/>
      <c r="W5" s="46"/>
      <c r="X5" s="46"/>
      <c r="Y5" s="46"/>
      <c r="Z5" s="46"/>
      <c r="AA5" s="46"/>
      <c r="AB5" s="46"/>
      <c r="AC5" s="46"/>
      <c r="AD5" s="46"/>
      <c r="AE5" s="46"/>
      <c r="AF5" s="47"/>
      <c r="AG5" s="23"/>
      <c r="AH5" s="23"/>
    </row>
    <row r="6" spans="1:34" x14ac:dyDescent="0.25">
      <c r="A6" s="23">
        <f t="shared" ref="A6:A30" si="1">IF(C6&gt;1,1+A5," ")</f>
        <v>3</v>
      </c>
      <c r="B6" s="32">
        <v>3</v>
      </c>
      <c r="C6" s="39" t="s">
        <v>61</v>
      </c>
      <c r="D6" s="42" t="s">
        <v>62</v>
      </c>
      <c r="E6" s="39" t="s">
        <v>63</v>
      </c>
      <c r="F6" s="39" t="s">
        <v>51</v>
      </c>
      <c r="G6" s="40" t="s">
        <v>52</v>
      </c>
      <c r="H6" s="40">
        <v>30064</v>
      </c>
      <c r="I6" s="42" t="s">
        <v>64</v>
      </c>
      <c r="J6" s="43" t="s">
        <v>65</v>
      </c>
      <c r="K6" s="71">
        <v>81480</v>
      </c>
      <c r="L6" s="23"/>
      <c r="M6" s="45"/>
      <c r="N6" s="48" t="s">
        <v>39</v>
      </c>
      <c r="O6" s="46"/>
      <c r="P6" s="46"/>
      <c r="Q6" s="49" t="str">
        <f>VLOOKUP(MAX($A:$A),$A:$K,3,FALSE)</f>
        <v>LaVecchia</v>
      </c>
      <c r="R6" s="50"/>
      <c r="S6" s="50"/>
      <c r="T6" s="50"/>
      <c r="U6" s="50"/>
      <c r="V6" s="51"/>
      <c r="W6" s="46"/>
      <c r="X6" s="52" t="s">
        <v>42</v>
      </c>
      <c r="Y6" s="46"/>
      <c r="Z6" s="49" t="str">
        <f>VLOOKUP(MAX($A:$A),$A:$K,7,FALSE)</f>
        <v>NJ</v>
      </c>
      <c r="AA6" s="50"/>
      <c r="AB6" s="50"/>
      <c r="AC6" s="50"/>
      <c r="AD6" s="50"/>
      <c r="AE6" s="51"/>
      <c r="AF6" s="47"/>
      <c r="AG6" s="23"/>
      <c r="AH6" s="23"/>
    </row>
    <row r="7" spans="1:34" x14ac:dyDescent="0.25">
      <c r="A7" s="23">
        <f t="shared" si="1"/>
        <v>4</v>
      </c>
      <c r="B7" s="32">
        <v>4</v>
      </c>
      <c r="C7" s="39" t="s">
        <v>66</v>
      </c>
      <c r="D7" s="42" t="s">
        <v>67</v>
      </c>
      <c r="E7" s="39" t="s">
        <v>68</v>
      </c>
      <c r="F7" s="39" t="s">
        <v>51</v>
      </c>
      <c r="G7" s="40" t="s">
        <v>52</v>
      </c>
      <c r="H7" s="40">
        <v>30065</v>
      </c>
      <c r="I7" s="42" t="s">
        <v>69</v>
      </c>
      <c r="J7" s="43" t="s">
        <v>54</v>
      </c>
      <c r="K7" s="71">
        <v>202578</v>
      </c>
      <c r="L7" s="23"/>
      <c r="M7" s="45"/>
      <c r="N7" s="46"/>
      <c r="O7" s="46"/>
      <c r="P7" s="46"/>
      <c r="Q7" s="46"/>
      <c r="R7" s="46"/>
      <c r="S7" s="46"/>
      <c r="T7" s="46"/>
      <c r="U7" s="46"/>
      <c r="V7" s="46"/>
      <c r="W7" s="46"/>
      <c r="X7" s="46"/>
      <c r="Y7" s="46"/>
      <c r="Z7" s="46"/>
      <c r="AA7" s="46"/>
      <c r="AB7" s="46"/>
      <c r="AC7" s="46"/>
      <c r="AD7" s="46"/>
      <c r="AE7" s="46"/>
      <c r="AF7" s="47"/>
      <c r="AG7" s="23"/>
      <c r="AH7" s="23"/>
    </row>
    <row r="8" spans="1:34" x14ac:dyDescent="0.25">
      <c r="A8" s="23">
        <f t="shared" si="1"/>
        <v>5</v>
      </c>
      <c r="B8" s="32">
        <v>5</v>
      </c>
      <c r="C8" s="42" t="s">
        <v>70</v>
      </c>
      <c r="D8" s="39" t="s">
        <v>71</v>
      </c>
      <c r="E8" s="39" t="s">
        <v>72</v>
      </c>
      <c r="F8" s="39" t="s">
        <v>51</v>
      </c>
      <c r="G8" s="40" t="s">
        <v>52</v>
      </c>
      <c r="H8" s="40">
        <v>30066</v>
      </c>
      <c r="I8" s="42" t="s">
        <v>73</v>
      </c>
      <c r="J8" s="43" t="s">
        <v>60</v>
      </c>
      <c r="K8" s="71">
        <v>177209</v>
      </c>
      <c r="L8" s="23"/>
      <c r="M8" s="45"/>
      <c r="N8" s="48" t="s">
        <v>40</v>
      </c>
      <c r="O8" s="46"/>
      <c r="P8" s="46"/>
      <c r="Q8" s="49" t="str">
        <f>VLOOKUP(MAX($A:$A),$A:$K,4,FALSE)</f>
        <v>Anthony</v>
      </c>
      <c r="R8" s="50"/>
      <c r="S8" s="50"/>
      <c r="T8" s="50"/>
      <c r="U8" s="50"/>
      <c r="V8" s="51"/>
      <c r="W8" s="46"/>
      <c r="X8" s="52" t="s">
        <v>43</v>
      </c>
      <c r="Y8" s="46"/>
      <c r="Z8" s="365" t="str">
        <f>VLOOKUP(MAX($A:$A),$A:$K,8,FALSE)</f>
        <v>07090</v>
      </c>
      <c r="AA8" s="366"/>
      <c r="AB8" s="366"/>
      <c r="AC8" s="366"/>
      <c r="AD8" s="366"/>
      <c r="AE8" s="367"/>
      <c r="AF8" s="47"/>
      <c r="AG8" s="23"/>
      <c r="AH8" s="23"/>
    </row>
    <row r="9" spans="1:34" x14ac:dyDescent="0.25">
      <c r="A9" s="23">
        <f t="shared" si="1"/>
        <v>6</v>
      </c>
      <c r="B9" s="32">
        <v>6</v>
      </c>
      <c r="C9" s="39" t="s">
        <v>74</v>
      </c>
      <c r="D9" s="39" t="s">
        <v>75</v>
      </c>
      <c r="E9" s="39" t="s">
        <v>76</v>
      </c>
      <c r="F9" s="39" t="s">
        <v>77</v>
      </c>
      <c r="G9" s="40" t="s">
        <v>52</v>
      </c>
      <c r="H9" s="40">
        <v>30092</v>
      </c>
      <c r="I9" s="42" t="s">
        <v>78</v>
      </c>
      <c r="J9" s="43" t="s">
        <v>65</v>
      </c>
      <c r="K9" s="71">
        <v>212254.23</v>
      </c>
      <c r="L9" s="23"/>
      <c r="M9" s="45"/>
      <c r="N9" s="46"/>
      <c r="O9" s="46"/>
      <c r="P9" s="46"/>
      <c r="Q9" s="46"/>
      <c r="R9" s="46"/>
      <c r="S9" s="46"/>
      <c r="T9" s="46"/>
      <c r="U9" s="46"/>
      <c r="V9" s="46"/>
      <c r="W9" s="46"/>
      <c r="X9" s="46"/>
      <c r="Y9" s="46"/>
      <c r="Z9" s="46"/>
      <c r="AA9" s="46"/>
      <c r="AB9" s="46"/>
      <c r="AC9" s="46"/>
      <c r="AD9" s="46"/>
      <c r="AE9" s="46"/>
      <c r="AF9" s="47"/>
      <c r="AG9" s="23"/>
      <c r="AH9" s="23"/>
    </row>
    <row r="10" spans="1:34" x14ac:dyDescent="0.25">
      <c r="A10" s="23">
        <f t="shared" si="1"/>
        <v>7</v>
      </c>
      <c r="B10" s="32">
        <v>7</v>
      </c>
      <c r="C10" s="39" t="s">
        <v>79</v>
      </c>
      <c r="D10" s="39" t="s">
        <v>80</v>
      </c>
      <c r="E10" s="39" t="s">
        <v>50</v>
      </c>
      <c r="F10" s="39" t="s">
        <v>81</v>
      </c>
      <c r="G10" s="40" t="s">
        <v>82</v>
      </c>
      <c r="H10" s="40">
        <v>30092</v>
      </c>
      <c r="I10" s="42" t="s">
        <v>53</v>
      </c>
      <c r="J10" s="43" t="s">
        <v>54</v>
      </c>
      <c r="K10" s="71">
        <v>124533.45</v>
      </c>
      <c r="L10" s="23"/>
      <c r="M10" s="45"/>
      <c r="N10" s="48" t="s">
        <v>41</v>
      </c>
      <c r="O10" s="46"/>
      <c r="P10" s="46"/>
      <c r="Q10" s="49" t="str">
        <f>VLOOKUP(MAX($A:$A),$A:$K,5,FALSE)</f>
        <v>123 South Ave</v>
      </c>
      <c r="R10" s="50"/>
      <c r="S10" s="50"/>
      <c r="T10" s="50"/>
      <c r="U10" s="50"/>
      <c r="V10" s="51"/>
      <c r="W10" s="46"/>
      <c r="X10" s="52" t="s">
        <v>44</v>
      </c>
      <c r="Y10" s="46"/>
      <c r="Z10" s="49" t="str">
        <f>VLOOKUP(MAX($A:$A),$A:$K,9,FALSE)</f>
        <v>908.123.4567</v>
      </c>
      <c r="AA10" s="50"/>
      <c r="AB10" s="50"/>
      <c r="AC10" s="50"/>
      <c r="AD10" s="50"/>
      <c r="AE10" s="51"/>
      <c r="AF10" s="47"/>
      <c r="AG10" s="23"/>
      <c r="AH10" s="23"/>
    </row>
    <row r="11" spans="1:34" x14ac:dyDescent="0.25">
      <c r="A11" s="23">
        <f t="shared" si="1"/>
        <v>8</v>
      </c>
      <c r="B11" s="32">
        <v>8</v>
      </c>
      <c r="C11" s="39" t="s">
        <v>255</v>
      </c>
      <c r="D11" s="39" t="s">
        <v>256</v>
      </c>
      <c r="E11" s="39" t="s">
        <v>257</v>
      </c>
      <c r="F11" s="39" t="s">
        <v>258</v>
      </c>
      <c r="G11" s="40" t="s">
        <v>259</v>
      </c>
      <c r="H11" s="222" t="s">
        <v>260</v>
      </c>
      <c r="I11" s="39" t="s">
        <v>261</v>
      </c>
      <c r="J11" s="40" t="s">
        <v>221</v>
      </c>
      <c r="K11" s="72">
        <v>999999.99</v>
      </c>
      <c r="L11" s="23"/>
      <c r="M11" s="45"/>
      <c r="N11" s="46"/>
      <c r="O11" s="46"/>
      <c r="P11" s="46"/>
      <c r="Q11" s="46"/>
      <c r="R11" s="46"/>
      <c r="S11" s="46"/>
      <c r="T11" s="46"/>
      <c r="U11" s="46"/>
      <c r="V11" s="46"/>
      <c r="W11" s="46"/>
      <c r="X11" s="46"/>
      <c r="Y11" s="46"/>
      <c r="Z11" s="46"/>
      <c r="AA11" s="46"/>
      <c r="AB11" s="46"/>
      <c r="AC11" s="46"/>
      <c r="AD11" s="46"/>
      <c r="AE11" s="46"/>
      <c r="AF11" s="47"/>
      <c r="AG11" s="23"/>
      <c r="AH11" s="23"/>
    </row>
    <row r="12" spans="1:34" x14ac:dyDescent="0.25">
      <c r="A12" s="23" t="str">
        <f t="shared" si="1"/>
        <v xml:space="preserve"> </v>
      </c>
      <c r="B12" s="32">
        <v>9</v>
      </c>
      <c r="C12" s="39"/>
      <c r="D12" s="39"/>
      <c r="E12" s="39"/>
      <c r="F12" s="39"/>
      <c r="G12" s="40"/>
      <c r="H12" s="39"/>
      <c r="I12" s="39"/>
      <c r="J12" s="40"/>
      <c r="K12" s="39"/>
      <c r="L12" s="23"/>
      <c r="M12" s="45"/>
      <c r="N12" s="52" t="s">
        <v>45</v>
      </c>
      <c r="O12" s="46"/>
      <c r="P12" s="46"/>
      <c r="Q12" s="49" t="str">
        <f>VLOOKUP(MAX($A:$A),$A:$K,6,FALSE)</f>
        <v>Westfield</v>
      </c>
      <c r="R12" s="50"/>
      <c r="S12" s="50"/>
      <c r="T12" s="50"/>
      <c r="U12" s="50"/>
      <c r="V12" s="51"/>
      <c r="W12" s="46"/>
      <c r="X12" s="60" t="s">
        <v>99</v>
      </c>
      <c r="Y12" s="46"/>
      <c r="Z12" s="49" t="str">
        <f>VLOOKUP(MAX($A:$A),$A:$K,10,FALSE)</f>
        <v>Plan Z</v>
      </c>
      <c r="AA12" s="50"/>
      <c r="AB12" s="50"/>
      <c r="AC12" s="50"/>
      <c r="AD12" s="50"/>
      <c r="AE12" s="51"/>
      <c r="AF12" s="47"/>
      <c r="AG12" s="23"/>
      <c r="AH12" s="23"/>
    </row>
    <row r="13" spans="1:34" x14ac:dyDescent="0.25">
      <c r="A13" s="23" t="str">
        <f t="shared" si="1"/>
        <v xml:space="preserve"> </v>
      </c>
      <c r="B13" s="32">
        <v>10</v>
      </c>
      <c r="C13" s="39"/>
      <c r="D13" s="39"/>
      <c r="E13" s="39"/>
      <c r="F13" s="39"/>
      <c r="G13" s="40"/>
      <c r="H13" s="39"/>
      <c r="I13" s="39"/>
      <c r="J13" s="40"/>
      <c r="K13" s="39"/>
      <c r="L13" s="23"/>
      <c r="M13" s="45"/>
      <c r="N13" s="46"/>
      <c r="O13" s="46"/>
      <c r="P13" s="46"/>
      <c r="Q13" s="46"/>
      <c r="R13" s="46"/>
      <c r="S13" s="46"/>
      <c r="T13" s="46"/>
      <c r="U13" s="46"/>
      <c r="V13" s="46"/>
      <c r="W13" s="46"/>
      <c r="X13" s="46"/>
      <c r="Y13" s="46"/>
      <c r="Z13" s="46"/>
      <c r="AA13" s="46"/>
      <c r="AB13" s="46"/>
      <c r="AC13" s="46"/>
      <c r="AD13" s="46"/>
      <c r="AE13" s="46"/>
      <c r="AF13" s="47"/>
      <c r="AG13" s="23"/>
      <c r="AH13" s="23"/>
    </row>
    <row r="14" spans="1:34" x14ac:dyDescent="0.25">
      <c r="A14" s="23" t="str">
        <f t="shared" si="1"/>
        <v xml:space="preserve"> </v>
      </c>
      <c r="B14" s="32">
        <v>11</v>
      </c>
      <c r="C14" s="39"/>
      <c r="D14" s="39"/>
      <c r="E14" s="39"/>
      <c r="F14" s="39"/>
      <c r="G14" s="40"/>
      <c r="H14" s="39"/>
      <c r="I14" s="39"/>
      <c r="J14" s="40"/>
      <c r="K14" s="39"/>
      <c r="L14" s="23"/>
      <c r="M14" s="45"/>
      <c r="N14" s="52" t="s">
        <v>90</v>
      </c>
      <c r="O14" s="46"/>
      <c r="P14" s="46"/>
      <c r="Q14" s="46"/>
      <c r="R14" s="46"/>
      <c r="S14" s="46"/>
      <c r="T14" s="46"/>
      <c r="U14" s="46"/>
      <c r="V14" s="46"/>
      <c r="W14" s="46"/>
      <c r="X14" s="46"/>
      <c r="Y14" s="46"/>
      <c r="Z14" s="368">
        <f>VLOOKUP(MAX($A:$A),$A:$K,11,FALSE)</f>
        <v>999999.99</v>
      </c>
      <c r="AA14" s="317"/>
      <c r="AB14" s="317"/>
      <c r="AC14" s="317"/>
      <c r="AD14" s="317"/>
      <c r="AE14" s="369"/>
      <c r="AF14" s="47"/>
      <c r="AG14" s="23"/>
      <c r="AH14" s="23"/>
    </row>
    <row r="15" spans="1:34" x14ac:dyDescent="0.25">
      <c r="A15" s="23" t="str">
        <f t="shared" si="1"/>
        <v xml:space="preserve"> </v>
      </c>
      <c r="B15" s="32">
        <v>12</v>
      </c>
      <c r="C15" s="39"/>
      <c r="D15" s="39"/>
      <c r="E15" s="39"/>
      <c r="F15" s="39"/>
      <c r="G15" s="40"/>
      <c r="H15" s="39"/>
      <c r="I15" s="39"/>
      <c r="J15" s="40"/>
      <c r="K15" s="39"/>
      <c r="L15" s="23"/>
      <c r="M15" s="45"/>
      <c r="N15" s="46"/>
      <c r="O15" s="46"/>
      <c r="P15" s="46"/>
      <c r="Q15" s="46"/>
      <c r="R15" s="46"/>
      <c r="S15" s="46"/>
      <c r="T15" s="46"/>
      <c r="U15" s="46"/>
      <c r="V15" s="46"/>
      <c r="W15" s="46"/>
      <c r="X15" s="46"/>
      <c r="Y15" s="46"/>
      <c r="Z15" s="46"/>
      <c r="AA15" s="46"/>
      <c r="AB15" s="46"/>
      <c r="AC15" s="46"/>
      <c r="AD15" s="46"/>
      <c r="AE15" s="46"/>
      <c r="AF15" s="47"/>
      <c r="AG15" s="23"/>
      <c r="AH15" s="23"/>
    </row>
    <row r="16" spans="1:34" x14ac:dyDescent="0.25">
      <c r="A16" s="23" t="str">
        <f t="shared" si="1"/>
        <v xml:space="preserve"> </v>
      </c>
      <c r="B16" s="32">
        <v>13</v>
      </c>
      <c r="C16" s="39"/>
      <c r="D16" s="39"/>
      <c r="E16" s="39"/>
      <c r="F16" s="39"/>
      <c r="G16" s="40"/>
      <c r="H16" s="39"/>
      <c r="I16" s="39"/>
      <c r="J16" s="40"/>
      <c r="K16" s="39"/>
      <c r="L16" s="23"/>
      <c r="M16" s="303" t="s">
        <v>91</v>
      </c>
      <c r="N16" s="304"/>
      <c r="O16" s="304"/>
      <c r="P16" s="304"/>
      <c r="Q16" s="304"/>
      <c r="R16" s="304"/>
      <c r="S16" s="304"/>
      <c r="T16" s="304"/>
      <c r="U16" s="304"/>
      <c r="V16" s="304"/>
      <c r="W16" s="304"/>
      <c r="X16" s="304"/>
      <c r="Y16" s="304"/>
      <c r="Z16" s="304"/>
      <c r="AA16" s="304"/>
      <c r="AB16" s="304"/>
      <c r="AC16" s="304"/>
      <c r="AD16" s="304"/>
      <c r="AE16" s="304"/>
      <c r="AF16" s="305"/>
      <c r="AG16" s="23"/>
      <c r="AH16" s="23"/>
    </row>
    <row r="17" spans="1:34" ht="16.5" thickBot="1" x14ac:dyDescent="0.3">
      <c r="A17" s="23" t="str">
        <f t="shared" si="1"/>
        <v xml:space="preserve"> </v>
      </c>
      <c r="B17" s="32">
        <v>14</v>
      </c>
      <c r="C17" s="39"/>
      <c r="D17" s="39"/>
      <c r="E17" s="39"/>
      <c r="F17" s="39"/>
      <c r="G17" s="40"/>
      <c r="H17" s="39"/>
      <c r="I17" s="39"/>
      <c r="J17" s="40"/>
      <c r="K17" s="39"/>
      <c r="L17" s="23"/>
      <c r="M17" s="61"/>
      <c r="N17" s="62"/>
      <c r="O17" s="62"/>
      <c r="P17" s="62"/>
      <c r="Q17" s="62"/>
      <c r="R17" s="62"/>
      <c r="S17" s="62"/>
      <c r="T17" s="62"/>
      <c r="U17" s="62"/>
      <c r="V17" s="62"/>
      <c r="W17" s="62"/>
      <c r="X17" s="62"/>
      <c r="Y17" s="62"/>
      <c r="Z17" s="62"/>
      <c r="AA17" s="62"/>
      <c r="AB17" s="62"/>
      <c r="AC17" s="62"/>
      <c r="AD17" s="62"/>
      <c r="AE17" s="62"/>
      <c r="AF17" s="63"/>
      <c r="AG17" s="23"/>
      <c r="AH17" s="23"/>
    </row>
    <row r="18" spans="1:34" x14ac:dyDescent="0.25">
      <c r="A18" s="23" t="str">
        <f t="shared" si="1"/>
        <v xml:space="preserve"> </v>
      </c>
      <c r="B18" s="32">
        <v>15</v>
      </c>
      <c r="C18" s="39"/>
      <c r="D18" s="39"/>
      <c r="E18" s="39"/>
      <c r="F18" s="39"/>
      <c r="G18" s="40"/>
      <c r="H18" s="39"/>
      <c r="I18" s="39"/>
      <c r="J18" s="40"/>
      <c r="K18" s="39"/>
      <c r="L18" s="23"/>
      <c r="M18" s="23"/>
      <c r="N18" s="23"/>
      <c r="O18" s="23"/>
      <c r="P18" s="23"/>
      <c r="Q18" s="23"/>
      <c r="R18" s="23"/>
      <c r="S18" s="23"/>
      <c r="T18" s="23"/>
      <c r="U18" s="23"/>
      <c r="V18" s="23"/>
      <c r="W18" s="23"/>
      <c r="X18" s="23"/>
      <c r="Y18" s="23"/>
      <c r="Z18" s="23"/>
      <c r="AA18" s="23"/>
      <c r="AB18" s="23"/>
      <c r="AC18" s="23"/>
      <c r="AD18" s="23"/>
      <c r="AE18" s="23"/>
      <c r="AF18" s="23"/>
      <c r="AG18" s="23"/>
      <c r="AH18" s="23"/>
    </row>
    <row r="19" spans="1:34" x14ac:dyDescent="0.25">
      <c r="A19" s="23" t="str">
        <f t="shared" si="1"/>
        <v xml:space="preserve"> </v>
      </c>
      <c r="B19" s="32">
        <v>16</v>
      </c>
      <c r="C19" s="39"/>
      <c r="D19" s="39"/>
      <c r="E19" s="39"/>
      <c r="F19" s="39"/>
      <c r="G19" s="40"/>
      <c r="H19" s="39"/>
      <c r="I19" s="39"/>
      <c r="J19" s="40"/>
      <c r="K19" s="39"/>
      <c r="L19" s="23"/>
      <c r="M19" s="23"/>
      <c r="N19" s="23"/>
      <c r="O19" s="23"/>
      <c r="P19" s="23"/>
      <c r="Q19" s="23"/>
      <c r="R19" s="23"/>
      <c r="S19" s="23"/>
      <c r="T19" s="23"/>
      <c r="U19" s="23"/>
      <c r="V19" s="23"/>
      <c r="W19" s="23"/>
      <c r="X19" s="23"/>
      <c r="Y19" s="23"/>
      <c r="Z19" s="23"/>
      <c r="AA19" s="23"/>
      <c r="AB19" s="23"/>
      <c r="AC19" s="23"/>
      <c r="AD19" s="23"/>
      <c r="AE19" s="23"/>
      <c r="AF19" s="23"/>
      <c r="AG19" s="23"/>
      <c r="AH19" s="23"/>
    </row>
    <row r="20" spans="1:34" x14ac:dyDescent="0.25">
      <c r="A20" s="23" t="str">
        <f t="shared" si="1"/>
        <v xml:space="preserve"> </v>
      </c>
      <c r="B20" s="32">
        <v>17</v>
      </c>
      <c r="C20" s="39"/>
      <c r="D20" s="39"/>
      <c r="E20" s="39"/>
      <c r="F20" s="39"/>
      <c r="G20" s="40"/>
      <c r="H20" s="39"/>
      <c r="I20" s="39"/>
      <c r="J20" s="40"/>
      <c r="K20" s="39"/>
      <c r="L20" s="23"/>
      <c r="M20" s="23"/>
      <c r="N20" s="23"/>
      <c r="O20" s="23"/>
      <c r="P20" s="23"/>
      <c r="Q20" s="23"/>
      <c r="R20" s="23"/>
      <c r="S20" s="23"/>
      <c r="T20" s="23"/>
      <c r="U20" s="23"/>
      <c r="V20" s="23"/>
      <c r="W20" s="23"/>
      <c r="X20" s="23"/>
      <c r="Y20" s="23"/>
      <c r="Z20" s="23"/>
      <c r="AA20" s="23"/>
      <c r="AB20" s="23"/>
      <c r="AC20" s="23"/>
      <c r="AD20" s="23"/>
      <c r="AE20" s="23"/>
      <c r="AF20" s="23"/>
      <c r="AG20" s="23"/>
      <c r="AH20" s="23"/>
    </row>
    <row r="21" spans="1:34" x14ac:dyDescent="0.25">
      <c r="A21" s="23" t="str">
        <f t="shared" si="1"/>
        <v xml:space="preserve"> </v>
      </c>
      <c r="B21" s="32">
        <v>18</v>
      </c>
      <c r="C21" s="39"/>
      <c r="D21" s="39"/>
      <c r="E21" s="39"/>
      <c r="F21" s="39"/>
      <c r="G21" s="40"/>
      <c r="H21" s="39"/>
      <c r="I21" s="39"/>
      <c r="J21" s="40"/>
      <c r="K21" s="39"/>
      <c r="L21" s="23"/>
      <c r="M21" s="23"/>
      <c r="N21" s="23"/>
      <c r="O21" s="23"/>
      <c r="P21" s="23"/>
      <c r="Q21" s="23"/>
      <c r="R21" s="23"/>
      <c r="S21" s="23"/>
      <c r="T21" s="23"/>
      <c r="U21" s="23"/>
      <c r="V21" s="23"/>
      <c r="W21" s="23"/>
      <c r="X21" s="23"/>
      <c r="Y21" s="23"/>
      <c r="Z21" s="23"/>
      <c r="AA21" s="23"/>
      <c r="AB21" s="23"/>
      <c r="AC21" s="23"/>
      <c r="AD21" s="23"/>
      <c r="AE21" s="23"/>
      <c r="AF21" s="23"/>
      <c r="AG21" s="23"/>
      <c r="AH21" s="23"/>
    </row>
    <row r="22" spans="1:34" x14ac:dyDescent="0.25">
      <c r="A22" s="23" t="str">
        <f t="shared" si="1"/>
        <v xml:space="preserve"> </v>
      </c>
      <c r="B22" s="32">
        <v>19</v>
      </c>
      <c r="C22" s="39"/>
      <c r="D22" s="39"/>
      <c r="E22" s="39"/>
      <c r="F22" s="39"/>
      <c r="G22" s="40"/>
      <c r="H22" s="39"/>
      <c r="I22" s="39"/>
      <c r="J22" s="40"/>
      <c r="K22" s="39"/>
      <c r="L22" s="23"/>
      <c r="M22" s="23"/>
      <c r="N22" s="23"/>
      <c r="O22" s="23"/>
      <c r="P22" s="23"/>
      <c r="Q22" s="23"/>
      <c r="R22" s="23"/>
      <c r="S22" s="23"/>
      <c r="T22" s="23"/>
      <c r="U22" s="23"/>
      <c r="V22" s="23"/>
      <c r="W22" s="23"/>
      <c r="X22" s="23"/>
      <c r="Y22" s="23"/>
      <c r="Z22" s="23"/>
      <c r="AA22" s="23"/>
      <c r="AB22" s="23"/>
      <c r="AC22" s="23"/>
      <c r="AD22" s="23"/>
      <c r="AE22" s="23"/>
      <c r="AF22" s="23"/>
      <c r="AG22" s="23"/>
      <c r="AH22" s="23"/>
    </row>
    <row r="23" spans="1:34" x14ac:dyDescent="0.25">
      <c r="A23" s="23" t="str">
        <f t="shared" si="1"/>
        <v xml:space="preserve"> </v>
      </c>
      <c r="B23" s="32">
        <v>20</v>
      </c>
      <c r="C23" s="39"/>
      <c r="D23" s="39"/>
      <c r="E23" s="39"/>
      <c r="F23" s="39"/>
      <c r="G23" s="40"/>
      <c r="H23" s="39"/>
      <c r="I23" s="39"/>
      <c r="J23" s="40"/>
      <c r="K23" s="39"/>
      <c r="L23" s="23"/>
      <c r="M23" s="23"/>
      <c r="N23" s="23"/>
      <c r="O23" s="23"/>
      <c r="P23" s="23"/>
      <c r="Q23" s="23"/>
      <c r="R23" s="23"/>
      <c r="S23" s="23"/>
      <c r="T23" s="23"/>
      <c r="U23" s="23"/>
      <c r="V23" s="23"/>
      <c r="W23" s="23"/>
      <c r="X23" s="23"/>
      <c r="Y23" s="23"/>
      <c r="Z23" s="23"/>
      <c r="AA23" s="23"/>
      <c r="AB23" s="23"/>
      <c r="AC23" s="23"/>
      <c r="AD23" s="23"/>
      <c r="AE23" s="23"/>
      <c r="AF23" s="23"/>
      <c r="AG23" s="23"/>
      <c r="AH23" s="23"/>
    </row>
    <row r="24" spans="1:34" x14ac:dyDescent="0.25">
      <c r="A24" s="23" t="str">
        <f t="shared" si="1"/>
        <v xml:space="preserve"> </v>
      </c>
      <c r="B24" s="32">
        <v>21</v>
      </c>
      <c r="C24" s="39"/>
      <c r="D24" s="39"/>
      <c r="E24" s="39"/>
      <c r="F24" s="39"/>
      <c r="G24" s="40"/>
      <c r="H24" s="39"/>
      <c r="I24" s="39"/>
      <c r="J24" s="40"/>
      <c r="K24" s="39"/>
      <c r="L24" s="23"/>
      <c r="M24" s="23"/>
      <c r="N24" s="23"/>
      <c r="O24" s="23"/>
      <c r="P24" s="23"/>
      <c r="Q24" s="23"/>
      <c r="R24" s="23"/>
      <c r="S24" s="23"/>
      <c r="T24" s="23"/>
      <c r="U24" s="23"/>
      <c r="V24" s="23"/>
      <c r="W24" s="23"/>
      <c r="X24" s="23"/>
      <c r="Y24" s="23"/>
      <c r="Z24" s="23"/>
      <c r="AA24" s="23"/>
      <c r="AB24" s="23"/>
      <c r="AC24" s="23"/>
      <c r="AD24" s="23"/>
      <c r="AE24" s="23"/>
      <c r="AF24" s="23"/>
      <c r="AG24" s="23"/>
      <c r="AH24" s="23"/>
    </row>
    <row r="25" spans="1:34" x14ac:dyDescent="0.25">
      <c r="A25" s="23" t="str">
        <f t="shared" si="1"/>
        <v xml:space="preserve"> </v>
      </c>
      <c r="B25" s="32">
        <v>22</v>
      </c>
      <c r="C25" s="39"/>
      <c r="D25" s="39"/>
      <c r="E25" s="39"/>
      <c r="F25" s="39"/>
      <c r="G25" s="40"/>
      <c r="H25" s="39"/>
      <c r="I25" s="39"/>
      <c r="J25" s="40"/>
      <c r="K25" s="39"/>
      <c r="L25" s="23"/>
      <c r="M25" s="23"/>
      <c r="N25" s="23"/>
      <c r="O25" s="23"/>
      <c r="P25" s="23"/>
      <c r="Q25" s="23"/>
      <c r="R25" s="23"/>
      <c r="S25" s="23"/>
      <c r="T25" s="23"/>
      <c r="U25" s="23"/>
      <c r="V25" s="23"/>
      <c r="W25" s="23"/>
      <c r="X25" s="23"/>
      <c r="Y25" s="23"/>
      <c r="Z25" s="23"/>
      <c r="AA25" s="23"/>
      <c r="AB25" s="23"/>
      <c r="AC25" s="23"/>
      <c r="AD25" s="23"/>
      <c r="AE25" s="23"/>
      <c r="AF25" s="23"/>
      <c r="AG25" s="23"/>
      <c r="AH25" s="23"/>
    </row>
    <row r="26" spans="1:34" x14ac:dyDescent="0.25">
      <c r="A26" s="23" t="str">
        <f t="shared" si="1"/>
        <v xml:space="preserve"> </v>
      </c>
      <c r="B26" s="32">
        <v>23</v>
      </c>
      <c r="C26" s="39"/>
      <c r="D26" s="39"/>
      <c r="E26" s="39"/>
      <c r="F26" s="39"/>
      <c r="G26" s="40"/>
      <c r="H26" s="39"/>
      <c r="I26" s="39"/>
      <c r="J26" s="40"/>
      <c r="K26" s="39"/>
      <c r="L26" s="23"/>
      <c r="M26" s="23"/>
      <c r="N26" s="23"/>
      <c r="O26" s="23"/>
      <c r="P26" s="23"/>
      <c r="Q26" s="23"/>
      <c r="R26" s="23"/>
      <c r="S26" s="23"/>
      <c r="T26" s="23"/>
      <c r="U26" s="23"/>
      <c r="V26" s="23"/>
      <c r="W26" s="23"/>
      <c r="X26" s="23"/>
      <c r="Y26" s="23"/>
      <c r="Z26" s="23"/>
      <c r="AA26" s="23"/>
      <c r="AB26" s="23"/>
      <c r="AC26" s="23"/>
      <c r="AD26" s="23"/>
      <c r="AE26" s="23"/>
      <c r="AF26" s="23"/>
      <c r="AG26" s="23"/>
      <c r="AH26" s="23"/>
    </row>
    <row r="27" spans="1:34" x14ac:dyDescent="0.25">
      <c r="A27" s="23" t="str">
        <f t="shared" si="1"/>
        <v xml:space="preserve"> </v>
      </c>
      <c r="B27" s="32">
        <v>24</v>
      </c>
      <c r="C27" s="39"/>
      <c r="D27" s="39"/>
      <c r="E27" s="39"/>
      <c r="F27" s="39"/>
      <c r="G27" s="40"/>
      <c r="H27" s="39"/>
      <c r="I27" s="39"/>
      <c r="J27" s="40"/>
      <c r="K27" s="39"/>
      <c r="L27" s="23"/>
      <c r="M27" s="23"/>
      <c r="N27" s="23"/>
      <c r="O27" s="23"/>
      <c r="P27" s="23"/>
      <c r="Q27" s="23"/>
      <c r="R27" s="23"/>
      <c r="S27" s="23"/>
      <c r="T27" s="23"/>
      <c r="U27" s="23"/>
      <c r="V27" s="23"/>
      <c r="W27" s="23"/>
      <c r="X27" s="23"/>
      <c r="Y27" s="23"/>
      <c r="Z27" s="23"/>
      <c r="AA27" s="23"/>
      <c r="AB27" s="23"/>
      <c r="AC27" s="23"/>
      <c r="AD27" s="23"/>
      <c r="AE27" s="23"/>
      <c r="AF27" s="23"/>
      <c r="AG27" s="23"/>
      <c r="AH27" s="23"/>
    </row>
    <row r="28" spans="1:34" x14ac:dyDescent="0.25">
      <c r="A28" s="23" t="str">
        <f t="shared" si="1"/>
        <v xml:space="preserve"> </v>
      </c>
      <c r="B28" s="32">
        <v>25</v>
      </c>
      <c r="C28" s="39"/>
      <c r="D28" s="39"/>
      <c r="E28" s="39"/>
      <c r="F28" s="39"/>
      <c r="G28" s="40"/>
      <c r="H28" s="39"/>
      <c r="I28" s="39"/>
      <c r="J28" s="40"/>
      <c r="K28" s="39"/>
      <c r="L28" s="23"/>
      <c r="M28" s="23"/>
      <c r="N28" s="23"/>
      <c r="O28" s="23"/>
      <c r="P28" s="23"/>
      <c r="Q28" s="23"/>
      <c r="R28" s="23"/>
      <c r="S28" s="23"/>
      <c r="T28" s="23"/>
      <c r="U28" s="23"/>
      <c r="V28" s="23"/>
      <c r="W28" s="23"/>
      <c r="X28" s="23"/>
      <c r="Y28" s="23"/>
      <c r="Z28" s="23"/>
      <c r="AA28" s="23"/>
      <c r="AB28" s="23"/>
      <c r="AC28" s="23"/>
      <c r="AD28" s="23"/>
      <c r="AE28" s="23"/>
      <c r="AF28" s="23"/>
      <c r="AG28" s="23"/>
      <c r="AH28" s="23"/>
    </row>
    <row r="29" spans="1:34" x14ac:dyDescent="0.25">
      <c r="A29" s="23" t="str">
        <f t="shared" si="1"/>
        <v xml:space="preserve"> </v>
      </c>
      <c r="B29" s="32">
        <v>26</v>
      </c>
      <c r="C29" s="39"/>
      <c r="D29" s="39"/>
      <c r="E29" s="39"/>
      <c r="F29" s="39"/>
      <c r="G29" s="40"/>
      <c r="H29" s="39"/>
      <c r="I29" s="39"/>
      <c r="J29" s="40"/>
      <c r="K29" s="39"/>
      <c r="L29" s="23"/>
      <c r="M29" s="23"/>
      <c r="N29" s="23"/>
      <c r="O29" s="23"/>
      <c r="P29" s="23"/>
      <c r="Q29" s="23"/>
      <c r="R29" s="23"/>
      <c r="S29" s="23"/>
      <c r="T29" s="23"/>
      <c r="U29" s="23"/>
      <c r="V29" s="23"/>
      <c r="W29" s="23"/>
      <c r="X29" s="23"/>
      <c r="Y29" s="23"/>
      <c r="Z29" s="23"/>
      <c r="AA29" s="23"/>
      <c r="AB29" s="23"/>
      <c r="AC29" s="23"/>
      <c r="AD29" s="23"/>
      <c r="AE29" s="23"/>
      <c r="AF29" s="23"/>
      <c r="AG29" s="23"/>
      <c r="AH29" s="23"/>
    </row>
    <row r="30" spans="1:34" x14ac:dyDescent="0.25">
      <c r="A30" s="23" t="str">
        <f t="shared" si="1"/>
        <v xml:space="preserve"> </v>
      </c>
      <c r="B30" s="32">
        <v>27</v>
      </c>
      <c r="C30" s="39"/>
      <c r="D30" s="39"/>
      <c r="E30" s="39"/>
      <c r="F30" s="39"/>
      <c r="G30" s="40"/>
      <c r="H30" s="39"/>
      <c r="I30" s="39"/>
      <c r="J30" s="40"/>
      <c r="K30" s="39"/>
      <c r="L30" s="23"/>
      <c r="M30" s="23"/>
      <c r="N30" s="23"/>
      <c r="O30" s="23"/>
      <c r="P30" s="23"/>
      <c r="Q30" s="23"/>
      <c r="R30" s="23"/>
      <c r="S30" s="23"/>
      <c r="T30" s="23"/>
      <c r="U30" s="23"/>
      <c r="V30" s="23"/>
      <c r="W30" s="23"/>
      <c r="X30" s="23"/>
      <c r="Y30" s="23"/>
      <c r="Z30" s="23"/>
      <c r="AA30" s="23"/>
      <c r="AB30" s="23"/>
      <c r="AC30" s="23"/>
      <c r="AD30" s="23"/>
      <c r="AE30" s="23"/>
      <c r="AF30" s="23"/>
      <c r="AG30" s="23"/>
      <c r="AH30" s="23"/>
    </row>
  </sheetData>
  <mergeCells count="4">
    <mergeCell ref="M4:AF4"/>
    <mergeCell ref="Z8:AE8"/>
    <mergeCell ref="Z14:AE14"/>
    <mergeCell ref="M16:AF16"/>
  </mergeCells>
  <pageMargins left="0.7" right="0.7" top="0.75" bottom="0.75" header="0.3" footer="0.3"/>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dimension ref="A1:AG30"/>
  <sheetViews>
    <sheetView showGridLines="0" workbookViewId="0">
      <selection activeCell="X1" sqref="X1"/>
    </sheetView>
  </sheetViews>
  <sheetFormatPr defaultRowHeight="15.75" x14ac:dyDescent="0.25"/>
  <cols>
    <col min="1" max="1" width="7.875" bestFit="1" customWidth="1"/>
    <col min="2" max="3" width="10" bestFit="1" customWidth="1"/>
    <col min="4" max="4" width="19" bestFit="1" customWidth="1"/>
    <col min="5" max="5" width="8.375" bestFit="1" customWidth="1"/>
    <col min="6" max="6" width="5.375" bestFit="1" customWidth="1"/>
    <col min="7" max="7" width="5.875" bestFit="1" customWidth="1"/>
    <col min="8" max="8" width="11.875" bestFit="1" customWidth="1"/>
    <col min="9" max="9" width="11.875" customWidth="1"/>
    <col min="10" max="10" width="12.125" bestFit="1" customWidth="1"/>
    <col min="11" max="11" width="3.75" customWidth="1"/>
    <col min="12" max="31" width="3.625" customWidth="1"/>
    <col min="32" max="32" width="3" customWidth="1"/>
  </cols>
  <sheetData>
    <row r="1" spans="1:33" ht="16.5" thickBot="1" x14ac:dyDescent="0.3">
      <c r="A1" s="18"/>
      <c r="B1" s="16"/>
      <c r="C1" s="16"/>
      <c r="D1" s="16"/>
      <c r="E1" s="16"/>
      <c r="F1" s="16"/>
      <c r="G1" s="16"/>
      <c r="H1" s="16"/>
      <c r="I1" s="16"/>
      <c r="J1" s="16"/>
      <c r="K1" s="16"/>
      <c r="L1" s="16"/>
      <c r="M1" s="16"/>
      <c r="N1" s="16"/>
      <c r="O1" s="16"/>
      <c r="P1" s="16"/>
      <c r="Q1" s="16"/>
      <c r="R1" s="16"/>
      <c r="S1" s="16"/>
      <c r="T1" s="17">
        <f t="shared" ref="T1:AC1" si="0">VLOOKUP(MAX($B$5:$B$149),$B$5:$I$149,2)</f>
        <v>0</v>
      </c>
      <c r="U1" s="17">
        <f t="shared" si="0"/>
        <v>0</v>
      </c>
      <c r="V1" s="17">
        <f t="shared" si="0"/>
        <v>0</v>
      </c>
      <c r="W1" s="17">
        <f t="shared" si="0"/>
        <v>0</v>
      </c>
      <c r="X1" s="17">
        <f t="shared" si="0"/>
        <v>0</v>
      </c>
      <c r="Y1" s="17">
        <f t="shared" si="0"/>
        <v>0</v>
      </c>
      <c r="Z1" s="17">
        <f t="shared" si="0"/>
        <v>0</v>
      </c>
      <c r="AA1" s="17">
        <f t="shared" si="0"/>
        <v>0</v>
      </c>
      <c r="AB1" s="17">
        <f t="shared" si="0"/>
        <v>0</v>
      </c>
      <c r="AC1" s="17">
        <f t="shared" si="0"/>
        <v>0</v>
      </c>
      <c r="AD1" s="18"/>
      <c r="AE1" s="18"/>
      <c r="AF1" s="18"/>
      <c r="AG1" s="18"/>
    </row>
    <row r="2" spans="1:33" ht="16.5" thickBot="1" x14ac:dyDescent="0.3">
      <c r="A2" s="18"/>
      <c r="B2" s="16"/>
      <c r="C2" s="16"/>
      <c r="D2" s="16"/>
      <c r="E2" s="16"/>
      <c r="F2" s="16"/>
      <c r="G2" s="16"/>
      <c r="H2" s="16"/>
      <c r="I2" s="16"/>
      <c r="J2" s="16"/>
      <c r="K2" s="16"/>
      <c r="L2" s="16"/>
      <c r="M2" s="370" t="s">
        <v>268</v>
      </c>
      <c r="N2" s="371"/>
      <c r="O2" s="371"/>
      <c r="P2" s="371"/>
      <c r="Q2" s="371"/>
      <c r="R2" s="371"/>
      <c r="S2" s="371"/>
      <c r="T2" s="371"/>
      <c r="U2" s="371"/>
      <c r="V2" s="372"/>
      <c r="W2" s="17"/>
      <c r="X2" s="17"/>
      <c r="Y2" s="17"/>
      <c r="Z2" s="17"/>
      <c r="AA2" s="17"/>
      <c r="AB2" s="17"/>
      <c r="AC2" s="17"/>
      <c r="AD2" s="18"/>
      <c r="AE2" s="18"/>
      <c r="AF2" s="18"/>
      <c r="AG2" s="18"/>
    </row>
    <row r="3" spans="1:33" ht="16.5" thickBot="1" x14ac:dyDescent="0.3">
      <c r="A3" s="18"/>
      <c r="B3" s="16"/>
      <c r="C3" s="16"/>
      <c r="D3" s="16"/>
      <c r="E3" s="16"/>
      <c r="F3" s="16"/>
      <c r="G3" s="16"/>
      <c r="H3" s="16"/>
      <c r="I3" s="16"/>
      <c r="J3" s="16"/>
      <c r="K3" s="16"/>
      <c r="L3" s="16"/>
      <c r="M3" s="373" t="s">
        <v>269</v>
      </c>
      <c r="N3" s="374"/>
      <c r="O3" s="374"/>
      <c r="P3" s="374"/>
      <c r="Q3" s="375"/>
      <c r="R3" s="376">
        <v>1</v>
      </c>
      <c r="S3" s="377"/>
      <c r="T3" s="377"/>
      <c r="U3" s="377"/>
      <c r="V3" s="378"/>
      <c r="W3" s="17"/>
      <c r="X3" s="17"/>
      <c r="Y3" s="17"/>
      <c r="Z3" s="17"/>
      <c r="AA3" s="17"/>
      <c r="AB3" s="17"/>
      <c r="AC3" s="17"/>
      <c r="AD3" s="18"/>
      <c r="AE3" s="18"/>
      <c r="AF3" s="18"/>
      <c r="AG3" s="18"/>
    </row>
    <row r="4" spans="1:33" ht="16.5" thickBot="1" x14ac:dyDescent="0.3">
      <c r="A4" s="18"/>
      <c r="B4" s="16"/>
      <c r="C4" s="16"/>
      <c r="D4" s="16"/>
      <c r="E4" s="16"/>
      <c r="F4" s="16"/>
      <c r="G4" s="16"/>
      <c r="H4" s="16"/>
      <c r="I4" s="16"/>
      <c r="J4" s="16"/>
      <c r="K4" s="16"/>
      <c r="L4" s="16"/>
      <c r="M4" s="16"/>
      <c r="N4" s="16"/>
      <c r="O4" s="16"/>
      <c r="P4" s="16"/>
      <c r="Q4" s="16"/>
      <c r="R4" s="16"/>
      <c r="S4" s="16"/>
      <c r="T4" s="17"/>
      <c r="U4" s="17"/>
      <c r="V4" s="17"/>
      <c r="W4" s="17"/>
      <c r="X4" s="17"/>
      <c r="Y4" s="17"/>
      <c r="Z4" s="17"/>
      <c r="AA4" s="17"/>
      <c r="AB4" s="17"/>
      <c r="AC4" s="17"/>
      <c r="AD4" s="18"/>
      <c r="AE4" s="18"/>
      <c r="AF4" s="18"/>
      <c r="AG4" s="18"/>
    </row>
    <row r="5" spans="1:33" x14ac:dyDescent="0.25">
      <c r="A5" s="23"/>
      <c r="B5" s="68" t="s">
        <v>38</v>
      </c>
      <c r="C5" s="69" t="s">
        <v>39</v>
      </c>
      <c r="D5" s="69" t="s">
        <v>40</v>
      </c>
      <c r="E5" s="69" t="s">
        <v>41</v>
      </c>
      <c r="F5" s="68" t="s">
        <v>42</v>
      </c>
      <c r="G5" s="68" t="s">
        <v>43</v>
      </c>
      <c r="H5" s="68" t="s">
        <v>44</v>
      </c>
      <c r="I5" s="68" t="s">
        <v>45</v>
      </c>
      <c r="J5" s="68" t="s">
        <v>46</v>
      </c>
      <c r="K5" s="68" t="s">
        <v>47</v>
      </c>
      <c r="L5" s="23"/>
      <c r="M5" s="29"/>
      <c r="N5" s="30"/>
      <c r="O5" s="30"/>
      <c r="P5" s="30"/>
      <c r="Q5" s="30"/>
      <c r="R5" s="30"/>
      <c r="S5" s="30"/>
      <c r="T5" s="30"/>
      <c r="U5" s="30"/>
      <c r="V5" s="30"/>
      <c r="W5" s="30"/>
      <c r="X5" s="30"/>
      <c r="Y5" s="30"/>
      <c r="Z5" s="30"/>
      <c r="AA5" s="30"/>
      <c r="AB5" s="30"/>
      <c r="AC5" s="30"/>
      <c r="AD5" s="30"/>
      <c r="AE5" s="30"/>
      <c r="AF5" s="31"/>
      <c r="AG5" s="23"/>
    </row>
    <row r="6" spans="1:33" x14ac:dyDescent="0.25">
      <c r="A6" s="23">
        <f>IF(C6&gt;1,1," ")</f>
        <v>1</v>
      </c>
      <c r="B6" s="32">
        <v>1</v>
      </c>
      <c r="C6" s="33" t="s">
        <v>48</v>
      </c>
      <c r="D6" s="34" t="s">
        <v>49</v>
      </c>
      <c r="E6" s="34" t="s">
        <v>50</v>
      </c>
      <c r="F6" s="34" t="s">
        <v>51</v>
      </c>
      <c r="G6" s="35" t="s">
        <v>52</v>
      </c>
      <c r="H6" s="35">
        <v>30062</v>
      </c>
      <c r="I6" s="33" t="s">
        <v>53</v>
      </c>
      <c r="J6" s="37" t="s">
        <v>54</v>
      </c>
      <c r="K6" s="70">
        <v>157665</v>
      </c>
      <c r="L6" s="23"/>
      <c r="M6" s="300" t="s">
        <v>55</v>
      </c>
      <c r="N6" s="301"/>
      <c r="O6" s="301"/>
      <c r="P6" s="301"/>
      <c r="Q6" s="301"/>
      <c r="R6" s="301"/>
      <c r="S6" s="301"/>
      <c r="T6" s="301"/>
      <c r="U6" s="301"/>
      <c r="V6" s="301"/>
      <c r="W6" s="301"/>
      <c r="X6" s="301"/>
      <c r="Y6" s="301"/>
      <c r="Z6" s="301"/>
      <c r="AA6" s="301"/>
      <c r="AB6" s="301"/>
      <c r="AC6" s="301"/>
      <c r="AD6" s="301"/>
      <c r="AE6" s="301"/>
      <c r="AF6" s="302"/>
      <c r="AG6" s="23"/>
    </row>
    <row r="7" spans="1:33" x14ac:dyDescent="0.25">
      <c r="A7" s="23">
        <f>IF(C7&gt;1,1+A6," ")</f>
        <v>2</v>
      </c>
      <c r="B7" s="32">
        <v>2</v>
      </c>
      <c r="C7" s="39" t="s">
        <v>56</v>
      </c>
      <c r="D7" s="39" t="s">
        <v>57</v>
      </c>
      <c r="E7" s="39" t="s">
        <v>58</v>
      </c>
      <c r="F7" s="39" t="s">
        <v>51</v>
      </c>
      <c r="G7" s="40" t="s">
        <v>52</v>
      </c>
      <c r="H7" s="40">
        <v>30063</v>
      </c>
      <c r="I7" s="42" t="s">
        <v>59</v>
      </c>
      <c r="J7" s="43" t="s">
        <v>60</v>
      </c>
      <c r="K7" s="71">
        <v>156340</v>
      </c>
      <c r="L7" s="23"/>
      <c r="M7" s="45"/>
      <c r="N7" s="46"/>
      <c r="O7" s="46"/>
      <c r="P7" s="46"/>
      <c r="Q7" s="46"/>
      <c r="R7" s="46"/>
      <c r="S7" s="46"/>
      <c r="T7" s="46"/>
      <c r="U7" s="46"/>
      <c r="V7" s="46"/>
      <c r="W7" s="46"/>
      <c r="X7" s="46"/>
      <c r="Y7" s="46"/>
      <c r="Z7" s="46"/>
      <c r="AA7" s="46"/>
      <c r="AB7" s="46"/>
      <c r="AC7" s="46"/>
      <c r="AD7" s="46"/>
      <c r="AE7" s="46"/>
      <c r="AF7" s="47"/>
      <c r="AG7" s="23"/>
    </row>
    <row r="8" spans="1:33" x14ac:dyDescent="0.25">
      <c r="A8" s="23">
        <f t="shared" ref="A8:A30" si="1">IF(C8&gt;1,1+A7," ")</f>
        <v>3</v>
      </c>
      <c r="B8" s="32">
        <v>3</v>
      </c>
      <c r="C8" s="39" t="s">
        <v>61</v>
      </c>
      <c r="D8" s="42" t="s">
        <v>62</v>
      </c>
      <c r="E8" s="39" t="s">
        <v>63</v>
      </c>
      <c r="F8" s="39" t="s">
        <v>51</v>
      </c>
      <c r="G8" s="40" t="s">
        <v>52</v>
      </c>
      <c r="H8" s="40">
        <v>30064</v>
      </c>
      <c r="I8" s="42" t="s">
        <v>64</v>
      </c>
      <c r="J8" s="43" t="s">
        <v>65</v>
      </c>
      <c r="K8" s="71">
        <v>81480</v>
      </c>
      <c r="L8" s="23"/>
      <c r="M8" s="45"/>
      <c r="N8" s="48" t="s">
        <v>39</v>
      </c>
      <c r="O8" s="46"/>
      <c r="P8" s="46"/>
      <c r="Q8" s="76" t="str">
        <f>IF($M$3="Last Row",VLOOKUP(MAX($A:$A),$A:$K,3,FALSE),IF($M$3="Client #:",VLOOKUP($R$3,$B:$K,2,FALSE),"Error"))</f>
        <v>LaVecchia</v>
      </c>
      <c r="R8" s="50"/>
      <c r="S8" s="50"/>
      <c r="T8" s="50"/>
      <c r="U8" s="50"/>
      <c r="V8" s="51"/>
      <c r="W8" s="46"/>
      <c r="X8" s="52" t="s">
        <v>42</v>
      </c>
      <c r="Y8" s="46"/>
      <c r="Z8" s="49" t="str">
        <f>IF($M$3="Last Row",VLOOKUP(MAX($A:$A),$A:$K,6,FALSE),IF($M$3="Client #:",VLOOKUP($R$3,$B:$K,5,FALSE),"Error"))</f>
        <v>Westfield</v>
      </c>
      <c r="AA8" s="50"/>
      <c r="AB8" s="50"/>
      <c r="AC8" s="50"/>
      <c r="AD8" s="50"/>
      <c r="AE8" s="51"/>
      <c r="AF8" s="47"/>
      <c r="AG8" s="23"/>
    </row>
    <row r="9" spans="1:33" x14ac:dyDescent="0.25">
      <c r="A9" s="23">
        <f t="shared" si="1"/>
        <v>4</v>
      </c>
      <c r="B9" s="32">
        <v>4</v>
      </c>
      <c r="C9" s="39" t="s">
        <v>66</v>
      </c>
      <c r="D9" s="42" t="s">
        <v>67</v>
      </c>
      <c r="E9" s="39" t="s">
        <v>68</v>
      </c>
      <c r="F9" s="39" t="s">
        <v>51</v>
      </c>
      <c r="G9" s="40" t="s">
        <v>52</v>
      </c>
      <c r="H9" s="40">
        <v>30065</v>
      </c>
      <c r="I9" s="42" t="s">
        <v>69</v>
      </c>
      <c r="J9" s="43" t="s">
        <v>54</v>
      </c>
      <c r="K9" s="71">
        <v>202578</v>
      </c>
      <c r="L9" s="23"/>
      <c r="M9" s="45"/>
      <c r="N9" s="46"/>
      <c r="O9" s="46"/>
      <c r="P9" s="46"/>
      <c r="Q9" s="46"/>
      <c r="R9" s="46"/>
      <c r="S9" s="46"/>
      <c r="T9" s="46"/>
      <c r="U9" s="46"/>
      <c r="V9" s="46"/>
      <c r="W9" s="46"/>
      <c r="X9" s="46"/>
      <c r="Y9" s="46"/>
      <c r="Z9" s="46"/>
      <c r="AA9" s="46"/>
      <c r="AB9" s="46"/>
      <c r="AC9" s="46"/>
      <c r="AD9" s="46"/>
      <c r="AE9" s="46"/>
      <c r="AF9" s="47"/>
      <c r="AG9" s="23"/>
    </row>
    <row r="10" spans="1:33" x14ac:dyDescent="0.25">
      <c r="A10" s="23">
        <f t="shared" si="1"/>
        <v>5</v>
      </c>
      <c r="B10" s="32">
        <v>5</v>
      </c>
      <c r="C10" s="42" t="s">
        <v>70</v>
      </c>
      <c r="D10" s="39" t="s">
        <v>71</v>
      </c>
      <c r="E10" s="39" t="s">
        <v>72</v>
      </c>
      <c r="F10" s="39" t="s">
        <v>51</v>
      </c>
      <c r="G10" s="40" t="s">
        <v>52</v>
      </c>
      <c r="H10" s="40">
        <v>30066</v>
      </c>
      <c r="I10" s="42" t="s">
        <v>73</v>
      </c>
      <c r="J10" s="43" t="s">
        <v>60</v>
      </c>
      <c r="K10" s="71">
        <v>177209</v>
      </c>
      <c r="L10" s="23"/>
      <c r="M10" s="45"/>
      <c r="N10" s="48" t="s">
        <v>40</v>
      </c>
      <c r="O10" s="46"/>
      <c r="P10" s="46"/>
      <c r="Q10" s="49" t="str">
        <f>IF($M$3="Last Row",VLOOKUP(MAX($A:$A),$A:$K,4,FALSE),IF($M$3="Client #:",VLOOKUP($R$3,$B:$K,3,FALSE),"Error"))</f>
        <v>Anthony</v>
      </c>
      <c r="R10" s="50"/>
      <c r="S10" s="50"/>
      <c r="T10" s="50"/>
      <c r="U10" s="50"/>
      <c r="V10" s="51"/>
      <c r="W10" s="46"/>
      <c r="X10" s="52" t="s">
        <v>43</v>
      </c>
      <c r="Y10" s="46"/>
      <c r="Z10" s="365" t="str">
        <f>IF($M$3="Last Row",VLOOKUP(MAX($A:$A),$A:$K,7,FALSE),IF($M$3="Client #:",VLOOKUP($R$3,$B:$K,6,FALSE),"Error"))</f>
        <v>NJ</v>
      </c>
      <c r="AA10" s="366"/>
      <c r="AB10" s="366"/>
      <c r="AC10" s="366"/>
      <c r="AD10" s="366"/>
      <c r="AE10" s="367"/>
      <c r="AF10" s="47"/>
      <c r="AG10" s="23"/>
    </row>
    <row r="11" spans="1:33" x14ac:dyDescent="0.25">
      <c r="A11" s="23">
        <f t="shared" si="1"/>
        <v>6</v>
      </c>
      <c r="B11" s="32">
        <v>6</v>
      </c>
      <c r="C11" s="39" t="s">
        <v>74</v>
      </c>
      <c r="D11" s="39" t="s">
        <v>75</v>
      </c>
      <c r="E11" s="39" t="s">
        <v>76</v>
      </c>
      <c r="F11" s="39" t="s">
        <v>77</v>
      </c>
      <c r="G11" s="40" t="s">
        <v>52</v>
      </c>
      <c r="H11" s="40">
        <v>30092</v>
      </c>
      <c r="I11" s="42" t="s">
        <v>78</v>
      </c>
      <c r="J11" s="43" t="s">
        <v>65</v>
      </c>
      <c r="K11" s="71">
        <v>212254.23</v>
      </c>
      <c r="L11" s="23"/>
      <c r="M11" s="45"/>
      <c r="N11" s="46"/>
      <c r="O11" s="46"/>
      <c r="P11" s="46"/>
      <c r="Q11" s="46"/>
      <c r="R11" s="46"/>
      <c r="S11" s="46"/>
      <c r="T11" s="46"/>
      <c r="U11" s="46"/>
      <c r="V11" s="46"/>
      <c r="W11" s="46"/>
      <c r="X11" s="46"/>
      <c r="Y11" s="46"/>
      <c r="Z11" s="46"/>
      <c r="AA11" s="46"/>
      <c r="AB11" s="46"/>
      <c r="AC11" s="46"/>
      <c r="AD11" s="46"/>
      <c r="AE11" s="46"/>
      <c r="AF11" s="47"/>
      <c r="AG11" s="23"/>
    </row>
    <row r="12" spans="1:33" x14ac:dyDescent="0.25">
      <c r="A12" s="23">
        <f t="shared" si="1"/>
        <v>7</v>
      </c>
      <c r="B12" s="32">
        <v>7</v>
      </c>
      <c r="C12" s="39" t="s">
        <v>79</v>
      </c>
      <c r="D12" s="39" t="s">
        <v>80</v>
      </c>
      <c r="E12" s="39" t="s">
        <v>50</v>
      </c>
      <c r="F12" s="39" t="s">
        <v>81</v>
      </c>
      <c r="G12" s="40" t="s">
        <v>82</v>
      </c>
      <c r="H12" s="40">
        <v>30092</v>
      </c>
      <c r="I12" s="42" t="s">
        <v>53</v>
      </c>
      <c r="J12" s="43" t="s">
        <v>54</v>
      </c>
      <c r="K12" s="71">
        <v>124533.45</v>
      </c>
      <c r="L12" s="23"/>
      <c r="M12" s="45"/>
      <c r="N12" s="48" t="s">
        <v>41</v>
      </c>
      <c r="O12" s="46"/>
      <c r="P12" s="46"/>
      <c r="Q12" s="49" t="str">
        <f>IF($M$3="Last Row",VLOOKUP(MAX($A:$A),$A:$K,5,FALSE),IF($M$3="Client #:",VLOOKUP($R$3,$B:$K,4,FALSE),"Error"))</f>
        <v>123 South Ave</v>
      </c>
      <c r="R12" s="50"/>
      <c r="S12" s="50"/>
      <c r="T12" s="50"/>
      <c r="U12" s="50"/>
      <c r="V12" s="51"/>
      <c r="W12" s="46"/>
      <c r="X12" s="52" t="s">
        <v>44</v>
      </c>
      <c r="Y12" s="46"/>
      <c r="Z12" s="306" t="str">
        <f>IF($M$3="Last Row",VLOOKUP(MAX($A:$A),$A:$K,8,FALSE),IF($M$3="Client #:",VLOOKUP($R$3,$B:$K,7,FALSE),"Error"))</f>
        <v>07090</v>
      </c>
      <c r="AA12" s="314"/>
      <c r="AB12" s="314"/>
      <c r="AC12" s="314"/>
      <c r="AD12" s="314"/>
      <c r="AE12" s="315"/>
      <c r="AF12" s="47"/>
      <c r="AG12" s="23"/>
    </row>
    <row r="13" spans="1:33" x14ac:dyDescent="0.25">
      <c r="A13" s="23">
        <f t="shared" si="1"/>
        <v>8</v>
      </c>
      <c r="B13" s="32">
        <v>8</v>
      </c>
      <c r="C13" s="39" t="s">
        <v>255</v>
      </c>
      <c r="D13" s="39" t="s">
        <v>256</v>
      </c>
      <c r="E13" s="39" t="s">
        <v>257</v>
      </c>
      <c r="F13" s="39" t="s">
        <v>258</v>
      </c>
      <c r="G13" s="40" t="s">
        <v>259</v>
      </c>
      <c r="H13" s="222" t="s">
        <v>260</v>
      </c>
      <c r="I13" s="39" t="s">
        <v>261</v>
      </c>
      <c r="J13" s="40" t="s">
        <v>221</v>
      </c>
      <c r="K13" s="72">
        <v>999999.99</v>
      </c>
      <c r="L13" s="23"/>
      <c r="M13" s="45"/>
      <c r="N13" s="46"/>
      <c r="O13" s="46"/>
      <c r="P13" s="46"/>
      <c r="Q13" s="46"/>
      <c r="R13" s="46"/>
      <c r="S13" s="46"/>
      <c r="T13" s="46"/>
      <c r="U13" s="46"/>
      <c r="V13" s="46"/>
      <c r="W13" s="46"/>
      <c r="X13" s="46"/>
      <c r="Y13" s="46"/>
      <c r="Z13" s="46"/>
      <c r="AA13" s="46"/>
      <c r="AB13" s="46"/>
      <c r="AC13" s="46"/>
      <c r="AD13" s="46"/>
      <c r="AE13" s="46"/>
      <c r="AF13" s="47"/>
      <c r="AG13" s="23"/>
    </row>
    <row r="14" spans="1:33" x14ac:dyDescent="0.25">
      <c r="A14" s="23" t="str">
        <f t="shared" si="1"/>
        <v xml:space="preserve"> </v>
      </c>
      <c r="B14" s="32">
        <v>9</v>
      </c>
      <c r="C14" s="39"/>
      <c r="D14" s="39"/>
      <c r="E14" s="39"/>
      <c r="F14" s="39"/>
      <c r="G14" s="40"/>
      <c r="H14" s="222"/>
      <c r="I14" s="39"/>
      <c r="J14" s="40"/>
      <c r="K14" s="72"/>
      <c r="L14" s="23"/>
      <c r="M14" s="45"/>
      <c r="N14" s="52" t="s">
        <v>45</v>
      </c>
      <c r="O14" s="46"/>
      <c r="P14" s="46"/>
      <c r="Q14" s="49" t="str">
        <f>IF($M$3="Last Row",VLOOKUP(MAX($A:$A),$A:$K,9,FALSE),IF($M$3="Client #:",VLOOKUP($R$3,$B:$K,8,FALSE),"Error"))</f>
        <v>908.123.4567</v>
      </c>
      <c r="R14" s="50"/>
      <c r="S14" s="50"/>
      <c r="T14" s="50"/>
      <c r="U14" s="50"/>
      <c r="V14" s="51"/>
      <c r="W14" s="46"/>
      <c r="X14" s="60" t="s">
        <v>99</v>
      </c>
      <c r="Y14" s="46"/>
      <c r="Z14" s="49" t="str">
        <f>IF($M$3="Last Row",VLOOKUP(MAX($A:$A),$A:$K,10,FALSE),IF($M$3="Client #:",VLOOKUP($R$3,$B:$K,9,FALSE),"Error"))</f>
        <v>Plan Z</v>
      </c>
      <c r="AA14" s="50"/>
      <c r="AB14" s="50"/>
      <c r="AC14" s="50"/>
      <c r="AD14" s="50"/>
      <c r="AE14" s="51"/>
      <c r="AF14" s="47"/>
      <c r="AG14" s="23"/>
    </row>
    <row r="15" spans="1:33" x14ac:dyDescent="0.25">
      <c r="A15" s="23" t="str">
        <f t="shared" si="1"/>
        <v xml:space="preserve"> </v>
      </c>
      <c r="B15" s="32">
        <v>10</v>
      </c>
      <c r="C15" s="39"/>
      <c r="D15" s="39"/>
      <c r="E15" s="39"/>
      <c r="F15" s="39"/>
      <c r="G15" s="40"/>
      <c r="H15" s="39"/>
      <c r="I15" s="39"/>
      <c r="J15" s="40"/>
      <c r="K15" s="39"/>
      <c r="L15" s="23"/>
      <c r="M15" s="45"/>
      <c r="N15" s="46"/>
      <c r="O15" s="46"/>
      <c r="P15" s="46"/>
      <c r="Q15" s="46"/>
      <c r="R15" s="46"/>
      <c r="S15" s="46"/>
      <c r="T15" s="46"/>
      <c r="U15" s="46"/>
      <c r="V15" s="46"/>
      <c r="W15" s="46"/>
      <c r="X15" s="46"/>
      <c r="Y15" s="46"/>
      <c r="Z15" s="46"/>
      <c r="AA15" s="46"/>
      <c r="AB15" s="46"/>
      <c r="AC15" s="46"/>
      <c r="AD15" s="46"/>
      <c r="AE15" s="46"/>
      <c r="AF15" s="47"/>
      <c r="AG15" s="23"/>
    </row>
    <row r="16" spans="1:33" x14ac:dyDescent="0.25">
      <c r="A16" s="23" t="str">
        <f t="shared" si="1"/>
        <v xml:space="preserve"> </v>
      </c>
      <c r="B16" s="32">
        <v>11</v>
      </c>
      <c r="C16" s="39"/>
      <c r="D16" s="39"/>
      <c r="E16" s="39"/>
      <c r="F16" s="39"/>
      <c r="G16" s="40"/>
      <c r="H16" s="39"/>
      <c r="I16" s="39"/>
      <c r="J16" s="40"/>
      <c r="K16" s="39"/>
      <c r="L16" s="23"/>
      <c r="M16" s="45"/>
      <c r="N16" s="52" t="s">
        <v>90</v>
      </c>
      <c r="O16" s="46"/>
      <c r="P16" s="46"/>
      <c r="Q16" s="46"/>
      <c r="R16" s="46"/>
      <c r="S16" s="46"/>
      <c r="T16" s="46"/>
      <c r="U16" s="46"/>
      <c r="V16" s="46"/>
      <c r="W16" s="46"/>
      <c r="X16" s="46"/>
      <c r="Y16" s="46"/>
      <c r="Z16" s="316">
        <f>IF($M$3="Last Row",VLOOKUP(MAX($A:$A),$A:$K,11,FALSE),IF($M$3="Client #:",VLOOKUP($R$3,$B:$K,10,FALSE),"Error"))</f>
        <v>999999.99</v>
      </c>
      <c r="AA16" s="317"/>
      <c r="AB16" s="317"/>
      <c r="AC16" s="317"/>
      <c r="AD16" s="317"/>
      <c r="AE16" s="369"/>
      <c r="AF16" s="47"/>
      <c r="AG16" s="23"/>
    </row>
    <row r="17" spans="1:33" x14ac:dyDescent="0.25">
      <c r="A17" s="23" t="str">
        <f t="shared" si="1"/>
        <v xml:space="preserve"> </v>
      </c>
      <c r="B17" s="32">
        <v>12</v>
      </c>
      <c r="C17" s="39"/>
      <c r="D17" s="39"/>
      <c r="E17" s="39"/>
      <c r="F17" s="39"/>
      <c r="G17" s="40"/>
      <c r="H17" s="39"/>
      <c r="I17" s="39"/>
      <c r="J17" s="40"/>
      <c r="K17" s="39"/>
      <c r="L17" s="23"/>
      <c r="M17" s="45"/>
      <c r="N17" s="46"/>
      <c r="O17" s="46"/>
      <c r="P17" s="46"/>
      <c r="Q17" s="46"/>
      <c r="R17" s="46"/>
      <c r="S17" s="46"/>
      <c r="T17" s="46"/>
      <c r="U17" s="46"/>
      <c r="V17" s="46"/>
      <c r="W17" s="46"/>
      <c r="X17" s="46"/>
      <c r="Y17" s="46"/>
      <c r="Z17" s="46"/>
      <c r="AA17" s="46"/>
      <c r="AB17" s="46"/>
      <c r="AC17" s="46"/>
      <c r="AD17" s="46"/>
      <c r="AE17" s="46"/>
      <c r="AF17" s="47"/>
      <c r="AG17" s="23"/>
    </row>
    <row r="18" spans="1:33" x14ac:dyDescent="0.25">
      <c r="A18" s="23" t="str">
        <f t="shared" si="1"/>
        <v xml:space="preserve"> </v>
      </c>
      <c r="B18" s="32">
        <v>13</v>
      </c>
      <c r="C18" s="39"/>
      <c r="D18" s="39"/>
      <c r="E18" s="39"/>
      <c r="F18" s="39"/>
      <c r="G18" s="40"/>
      <c r="H18" s="39"/>
      <c r="I18" s="39"/>
      <c r="J18" s="40"/>
      <c r="K18" s="39"/>
      <c r="L18" s="23"/>
      <c r="M18" s="303" t="s">
        <v>91</v>
      </c>
      <c r="N18" s="304"/>
      <c r="O18" s="304"/>
      <c r="P18" s="304"/>
      <c r="Q18" s="304"/>
      <c r="R18" s="304"/>
      <c r="S18" s="304"/>
      <c r="T18" s="304"/>
      <c r="U18" s="304"/>
      <c r="V18" s="304"/>
      <c r="W18" s="304"/>
      <c r="X18" s="304"/>
      <c r="Y18" s="304"/>
      <c r="Z18" s="304"/>
      <c r="AA18" s="304"/>
      <c r="AB18" s="304"/>
      <c r="AC18" s="304"/>
      <c r="AD18" s="304"/>
      <c r="AE18" s="304"/>
      <c r="AF18" s="305"/>
      <c r="AG18" s="23"/>
    </row>
    <row r="19" spans="1:33" ht="16.5" thickBot="1" x14ac:dyDescent="0.3">
      <c r="A19" s="23" t="str">
        <f t="shared" si="1"/>
        <v xml:space="preserve"> </v>
      </c>
      <c r="B19" s="32">
        <v>14</v>
      </c>
      <c r="C19" s="39"/>
      <c r="D19" s="39"/>
      <c r="E19" s="39"/>
      <c r="F19" s="39"/>
      <c r="G19" s="40"/>
      <c r="H19" s="39"/>
      <c r="I19" s="39"/>
      <c r="J19" s="40"/>
      <c r="K19" s="39"/>
      <c r="L19" s="23"/>
      <c r="M19" s="61"/>
      <c r="N19" s="62"/>
      <c r="O19" s="62"/>
      <c r="P19" s="62"/>
      <c r="Q19" s="62"/>
      <c r="R19" s="62"/>
      <c r="S19" s="62"/>
      <c r="T19" s="62"/>
      <c r="U19" s="62"/>
      <c r="V19" s="62"/>
      <c r="W19" s="62"/>
      <c r="X19" s="62"/>
      <c r="Y19" s="62"/>
      <c r="Z19" s="62"/>
      <c r="AA19" s="62"/>
      <c r="AB19" s="62"/>
      <c r="AC19" s="62"/>
      <c r="AD19" s="62"/>
      <c r="AE19" s="62"/>
      <c r="AF19" s="63"/>
      <c r="AG19" s="23"/>
    </row>
    <row r="20" spans="1:33" x14ac:dyDescent="0.25">
      <c r="A20" s="23" t="str">
        <f t="shared" si="1"/>
        <v xml:space="preserve"> </v>
      </c>
      <c r="B20" s="32">
        <v>15</v>
      </c>
      <c r="C20" s="39"/>
      <c r="D20" s="39"/>
      <c r="E20" s="39"/>
      <c r="F20" s="39"/>
      <c r="G20" s="40"/>
      <c r="H20" s="39"/>
      <c r="I20" s="39"/>
      <c r="J20" s="40"/>
      <c r="K20" s="39"/>
      <c r="L20" s="23"/>
      <c r="M20" s="23"/>
      <c r="N20" s="23"/>
      <c r="O20" s="23"/>
      <c r="P20" s="23"/>
      <c r="Q20" s="23"/>
      <c r="R20" s="23"/>
      <c r="S20" s="23"/>
      <c r="T20" s="23"/>
      <c r="U20" s="23"/>
      <c r="V20" s="23"/>
      <c r="W20" s="23"/>
      <c r="X20" s="23"/>
      <c r="Y20" s="23"/>
      <c r="Z20" s="23"/>
      <c r="AA20" s="23"/>
      <c r="AB20" s="23"/>
      <c r="AC20" s="23"/>
      <c r="AD20" s="23"/>
      <c r="AE20" s="23"/>
      <c r="AF20" s="23"/>
      <c r="AG20" s="23"/>
    </row>
    <row r="21" spans="1:33" x14ac:dyDescent="0.25">
      <c r="A21" s="23" t="str">
        <f t="shared" si="1"/>
        <v xml:space="preserve"> </v>
      </c>
      <c r="B21" s="32">
        <v>16</v>
      </c>
      <c r="C21" s="39"/>
      <c r="D21" s="39"/>
      <c r="E21" s="39"/>
      <c r="F21" s="39"/>
      <c r="G21" s="40"/>
      <c r="H21" s="39"/>
      <c r="I21" s="39"/>
      <c r="J21" s="40"/>
      <c r="K21" s="39"/>
      <c r="L21" s="23"/>
      <c r="M21" s="23"/>
      <c r="N21" s="23"/>
      <c r="O21" s="23"/>
      <c r="P21" s="23"/>
      <c r="Q21" s="23"/>
      <c r="R21" s="23"/>
      <c r="S21" s="23"/>
      <c r="T21" s="23"/>
      <c r="U21" s="23"/>
      <c r="V21" s="23"/>
      <c r="W21" s="23"/>
      <c r="X21" s="23"/>
      <c r="Y21" s="23"/>
      <c r="Z21" s="23"/>
      <c r="AA21" s="23"/>
      <c r="AB21" s="23"/>
      <c r="AC21" s="23"/>
      <c r="AD21" s="23"/>
      <c r="AE21" s="23"/>
      <c r="AF21" s="23"/>
      <c r="AG21" s="23"/>
    </row>
    <row r="22" spans="1:33" x14ac:dyDescent="0.25">
      <c r="A22" s="23" t="str">
        <f t="shared" si="1"/>
        <v xml:space="preserve"> </v>
      </c>
      <c r="B22" s="32">
        <v>17</v>
      </c>
      <c r="C22" s="39"/>
      <c r="D22" s="39"/>
      <c r="E22" s="39"/>
      <c r="F22" s="39"/>
      <c r="G22" s="40"/>
      <c r="H22" s="39"/>
      <c r="I22" s="39"/>
      <c r="J22" s="40"/>
      <c r="K22" s="39"/>
      <c r="L22" s="23"/>
      <c r="M22" s="23"/>
      <c r="N22" s="23"/>
      <c r="O22" s="23"/>
      <c r="P22" s="23"/>
      <c r="Q22" s="23"/>
      <c r="R22" s="23"/>
      <c r="S22" s="23"/>
      <c r="T22" s="23"/>
      <c r="U22" s="23"/>
      <c r="V22" s="23"/>
      <c r="W22" s="23"/>
      <c r="X22" s="23"/>
      <c r="Y22" s="23"/>
      <c r="Z22" s="23"/>
      <c r="AA22" s="23"/>
      <c r="AB22" s="23"/>
      <c r="AC22" s="23"/>
      <c r="AD22" s="23"/>
      <c r="AE22" s="23"/>
      <c r="AF22" s="23"/>
      <c r="AG22" s="23"/>
    </row>
    <row r="23" spans="1:33" x14ac:dyDescent="0.25">
      <c r="A23" s="23" t="str">
        <f t="shared" si="1"/>
        <v xml:space="preserve"> </v>
      </c>
      <c r="B23" s="32">
        <v>18</v>
      </c>
      <c r="C23" s="39"/>
      <c r="D23" s="39"/>
      <c r="E23" s="39"/>
      <c r="F23" s="39"/>
      <c r="G23" s="40"/>
      <c r="H23" s="39"/>
      <c r="I23" s="39"/>
      <c r="J23" s="40"/>
      <c r="K23" s="39"/>
      <c r="L23" s="23"/>
      <c r="M23" s="23"/>
      <c r="N23" s="23"/>
      <c r="O23" s="23"/>
      <c r="P23" s="23"/>
      <c r="Q23" s="23"/>
      <c r="R23" s="23"/>
      <c r="S23" s="23"/>
      <c r="T23" s="23"/>
      <c r="U23" s="23"/>
      <c r="V23" s="23"/>
      <c r="W23" s="23"/>
      <c r="X23" s="23"/>
      <c r="Y23" s="23"/>
      <c r="Z23" s="23"/>
      <c r="AA23" s="23"/>
      <c r="AB23" s="23"/>
      <c r="AC23" s="23"/>
      <c r="AD23" s="23"/>
      <c r="AE23" s="23"/>
      <c r="AF23" s="23"/>
      <c r="AG23" s="23"/>
    </row>
    <row r="24" spans="1:33" x14ac:dyDescent="0.25">
      <c r="A24" s="23" t="str">
        <f t="shared" si="1"/>
        <v xml:space="preserve"> </v>
      </c>
      <c r="B24" s="32">
        <v>19</v>
      </c>
      <c r="C24" s="39"/>
      <c r="D24" s="39"/>
      <c r="E24" s="39"/>
      <c r="F24" s="39"/>
      <c r="G24" s="40"/>
      <c r="H24" s="39"/>
      <c r="I24" s="39"/>
      <c r="J24" s="40"/>
      <c r="K24" s="39"/>
      <c r="L24" s="23"/>
      <c r="M24" s="23"/>
      <c r="N24" s="23"/>
      <c r="O24" s="23"/>
      <c r="P24" s="23"/>
      <c r="Q24" s="23"/>
      <c r="R24" s="23"/>
      <c r="S24" s="23"/>
      <c r="T24" s="23"/>
      <c r="U24" s="23"/>
      <c r="V24" s="23"/>
      <c r="W24" s="23"/>
      <c r="X24" s="23"/>
      <c r="Y24" s="23"/>
      <c r="Z24" s="23"/>
      <c r="AA24" s="23"/>
      <c r="AB24" s="23"/>
      <c r="AC24" s="23"/>
      <c r="AD24" s="23"/>
      <c r="AE24" s="23"/>
      <c r="AF24" s="23"/>
      <c r="AG24" s="23"/>
    </row>
    <row r="25" spans="1:33" x14ac:dyDescent="0.25">
      <c r="A25" s="23" t="str">
        <f t="shared" si="1"/>
        <v xml:space="preserve"> </v>
      </c>
      <c r="B25" s="32">
        <v>20</v>
      </c>
      <c r="C25" s="39"/>
      <c r="D25" s="39"/>
      <c r="E25" s="39"/>
      <c r="F25" s="39"/>
      <c r="G25" s="40"/>
      <c r="H25" s="39"/>
      <c r="I25" s="39"/>
      <c r="J25" s="40"/>
      <c r="K25" s="39"/>
      <c r="L25" s="23"/>
      <c r="M25" s="23"/>
      <c r="N25" s="23"/>
      <c r="O25" s="23"/>
      <c r="P25" s="23"/>
      <c r="Q25" s="23"/>
      <c r="R25" s="23"/>
      <c r="S25" s="23"/>
      <c r="T25" s="23"/>
      <c r="U25" s="23"/>
      <c r="V25" s="23"/>
      <c r="W25" s="23"/>
      <c r="X25" s="23"/>
      <c r="Y25" s="23"/>
      <c r="Z25" s="23"/>
      <c r="AA25" s="23"/>
      <c r="AB25" s="23"/>
      <c r="AC25" s="23"/>
      <c r="AD25" s="23"/>
      <c r="AE25" s="23"/>
      <c r="AF25" s="23"/>
      <c r="AG25" s="23"/>
    </row>
    <row r="26" spans="1:33" x14ac:dyDescent="0.25">
      <c r="A26" s="23" t="str">
        <f t="shared" si="1"/>
        <v xml:space="preserve"> </v>
      </c>
      <c r="B26" s="32">
        <v>21</v>
      </c>
      <c r="C26" s="39"/>
      <c r="D26" s="39"/>
      <c r="E26" s="39"/>
      <c r="F26" s="39"/>
      <c r="G26" s="40"/>
      <c r="H26" s="39"/>
      <c r="I26" s="39"/>
      <c r="J26" s="40"/>
      <c r="K26" s="39"/>
      <c r="L26" s="23"/>
      <c r="M26" s="23"/>
      <c r="N26" s="23"/>
      <c r="O26" s="23"/>
      <c r="P26" s="23"/>
      <c r="Q26" s="23"/>
      <c r="R26" s="23"/>
      <c r="S26" s="23"/>
      <c r="T26" s="23"/>
      <c r="U26" s="23"/>
      <c r="V26" s="23"/>
      <c r="W26" s="23"/>
      <c r="X26" s="23"/>
      <c r="Y26" s="23"/>
      <c r="Z26" s="23"/>
      <c r="AA26" s="23"/>
      <c r="AB26" s="23"/>
      <c r="AC26" s="23"/>
      <c r="AD26" s="23"/>
      <c r="AE26" s="23"/>
      <c r="AF26" s="23"/>
      <c r="AG26" s="23"/>
    </row>
    <row r="27" spans="1:33" x14ac:dyDescent="0.25">
      <c r="A27" s="23" t="str">
        <f t="shared" si="1"/>
        <v xml:space="preserve"> </v>
      </c>
      <c r="B27" s="32">
        <v>22</v>
      </c>
      <c r="C27" s="39"/>
      <c r="D27" s="39"/>
      <c r="E27" s="39"/>
      <c r="F27" s="39"/>
      <c r="G27" s="40"/>
      <c r="H27" s="39"/>
      <c r="I27" s="39"/>
      <c r="J27" s="40"/>
      <c r="K27" s="39"/>
      <c r="L27" s="23"/>
      <c r="M27" s="23"/>
      <c r="N27" s="23"/>
      <c r="O27" s="23"/>
      <c r="P27" s="23"/>
      <c r="Q27" s="23"/>
      <c r="R27" s="23"/>
      <c r="S27" s="23"/>
      <c r="T27" s="23"/>
      <c r="U27" s="23"/>
      <c r="V27" s="23"/>
      <c r="W27" s="23"/>
      <c r="X27" s="23"/>
      <c r="Y27" s="23"/>
      <c r="Z27" s="23"/>
      <c r="AA27" s="23"/>
      <c r="AB27" s="23"/>
      <c r="AC27" s="23"/>
      <c r="AD27" s="23"/>
      <c r="AE27" s="23"/>
      <c r="AF27" s="23"/>
      <c r="AG27" s="23"/>
    </row>
    <row r="28" spans="1:33" x14ac:dyDescent="0.25">
      <c r="A28" s="23" t="str">
        <f t="shared" si="1"/>
        <v xml:space="preserve"> </v>
      </c>
      <c r="B28" s="32">
        <v>23</v>
      </c>
      <c r="C28" s="39"/>
      <c r="D28" s="39"/>
      <c r="E28" s="39"/>
      <c r="F28" s="39"/>
      <c r="G28" s="40"/>
      <c r="H28" s="39"/>
      <c r="I28" s="39"/>
      <c r="J28" s="40"/>
      <c r="K28" s="39"/>
      <c r="L28" s="23"/>
      <c r="M28" s="23"/>
      <c r="N28" s="23"/>
      <c r="O28" s="23"/>
      <c r="P28" s="23"/>
      <c r="Q28" s="23"/>
      <c r="R28" s="23"/>
      <c r="S28" s="23"/>
      <c r="T28" s="23"/>
      <c r="U28" s="23"/>
      <c r="V28" s="23"/>
      <c r="W28" s="23"/>
      <c r="X28" s="23"/>
      <c r="Y28" s="23"/>
      <c r="Z28" s="23"/>
      <c r="AA28" s="23"/>
      <c r="AB28" s="23"/>
      <c r="AC28" s="23"/>
      <c r="AD28" s="23"/>
      <c r="AE28" s="23"/>
      <c r="AF28" s="23"/>
      <c r="AG28" s="23"/>
    </row>
    <row r="29" spans="1:33" x14ac:dyDescent="0.25">
      <c r="A29" s="23" t="str">
        <f t="shared" si="1"/>
        <v xml:space="preserve"> </v>
      </c>
      <c r="B29" s="32">
        <v>24</v>
      </c>
      <c r="C29" s="39"/>
      <c r="D29" s="39"/>
      <c r="E29" s="39"/>
      <c r="F29" s="39"/>
      <c r="G29" s="40"/>
      <c r="H29" s="39"/>
      <c r="I29" s="39"/>
      <c r="J29" s="40"/>
      <c r="K29" s="39"/>
      <c r="L29" s="23"/>
      <c r="M29" s="23"/>
      <c r="N29" s="23"/>
      <c r="O29" s="23"/>
      <c r="P29" s="23"/>
      <c r="Q29" s="23"/>
      <c r="R29" s="23"/>
      <c r="S29" s="23"/>
      <c r="T29" s="23"/>
      <c r="U29" s="23"/>
      <c r="V29" s="23"/>
      <c r="W29" s="23"/>
      <c r="X29" s="23"/>
      <c r="Y29" s="23"/>
      <c r="Z29" s="23"/>
      <c r="AA29" s="23"/>
      <c r="AB29" s="23"/>
      <c r="AC29" s="23"/>
      <c r="AD29" s="23"/>
      <c r="AE29" s="23"/>
      <c r="AF29" s="23"/>
      <c r="AG29" s="23"/>
    </row>
    <row r="30" spans="1:33" x14ac:dyDescent="0.25">
      <c r="A30" s="23" t="str">
        <f t="shared" si="1"/>
        <v xml:space="preserve"> </v>
      </c>
      <c r="B30" s="32">
        <v>25</v>
      </c>
      <c r="C30" s="39"/>
      <c r="D30" s="39"/>
      <c r="E30" s="39"/>
      <c r="F30" s="39"/>
      <c r="G30" s="40"/>
      <c r="H30" s="39"/>
      <c r="I30" s="39"/>
      <c r="J30" s="40"/>
      <c r="K30" s="39"/>
      <c r="L30" s="23"/>
      <c r="M30" s="23"/>
      <c r="N30" s="23"/>
      <c r="O30" s="23"/>
      <c r="P30" s="23"/>
      <c r="Q30" s="23"/>
      <c r="R30" s="23"/>
      <c r="S30" s="23"/>
      <c r="T30" s="23"/>
      <c r="U30" s="23"/>
      <c r="V30" s="23"/>
      <c r="W30" s="23"/>
      <c r="X30" s="23"/>
      <c r="Y30" s="23"/>
      <c r="Z30" s="23"/>
      <c r="AA30" s="23"/>
      <c r="AB30" s="23"/>
      <c r="AC30" s="23"/>
      <c r="AD30" s="23"/>
      <c r="AE30" s="23"/>
      <c r="AF30" s="23"/>
      <c r="AG30" s="23"/>
    </row>
  </sheetData>
  <mergeCells count="8">
    <mergeCell ref="Z16:AE16"/>
    <mergeCell ref="M18:AF18"/>
    <mergeCell ref="M2:V2"/>
    <mergeCell ref="M3:Q3"/>
    <mergeCell ref="R3:V3"/>
    <mergeCell ref="M6:AF6"/>
    <mergeCell ref="Z10:AE10"/>
    <mergeCell ref="Z12:AE12"/>
  </mergeCells>
  <conditionalFormatting sqref="R3:V3">
    <cfRule type="expression" dxfId="14" priority="1">
      <formula>$M$3="Last Row"</formula>
    </cfRule>
  </conditionalFormatting>
  <dataValidations disablePrompts="1" count="2">
    <dataValidation type="list" allowBlank="1" showInputMessage="1" showErrorMessage="1" sqref="R3:V3">
      <formula1>$B$6:$B$106</formula1>
    </dataValidation>
    <dataValidation type="list" allowBlank="1" showInputMessage="1" showErrorMessage="1" sqref="M3:Q3">
      <formula1>$AH$3:$AH$4</formula1>
    </dataValidation>
  </dataValidations>
  <pageMargins left="0.7" right="0.7" top="0.75" bottom="0.75" header="0.3" footer="0.3"/>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dimension ref="A1:AH29"/>
  <sheetViews>
    <sheetView showGridLines="0" workbookViewId="0">
      <selection activeCell="Q1" sqref="Q1"/>
    </sheetView>
  </sheetViews>
  <sheetFormatPr defaultRowHeight="15.75" x14ac:dyDescent="0.25"/>
  <cols>
    <col min="1" max="1" width="7.875" bestFit="1" customWidth="1"/>
    <col min="2" max="2" width="0" hidden="1" customWidth="1"/>
    <col min="3" max="4" width="10" bestFit="1" customWidth="1"/>
    <col min="5" max="5" width="19" bestFit="1" customWidth="1"/>
    <col min="6" max="6" width="8.375" bestFit="1" customWidth="1"/>
    <col min="7" max="7" width="5.375" bestFit="1" customWidth="1"/>
    <col min="8" max="8" width="5.875" bestFit="1" customWidth="1"/>
    <col min="9" max="9" width="11.875" bestFit="1" customWidth="1"/>
    <col min="10" max="10" width="11.875" customWidth="1"/>
    <col min="11" max="11" width="12.125" bestFit="1" customWidth="1"/>
    <col min="12" max="12" width="3.75" customWidth="1"/>
    <col min="13" max="32" width="3.625" customWidth="1"/>
    <col min="33" max="33" width="3" customWidth="1"/>
  </cols>
  <sheetData>
    <row r="1" spans="1:34" x14ac:dyDescent="0.25">
      <c r="A1" s="16"/>
      <c r="B1" s="16"/>
      <c r="C1" s="16"/>
      <c r="D1" s="16"/>
      <c r="E1" s="16"/>
      <c r="F1" s="16"/>
      <c r="G1" s="16"/>
      <c r="H1" s="16"/>
      <c r="I1" s="16"/>
      <c r="J1" s="16"/>
      <c r="K1" s="16"/>
      <c r="L1" s="16"/>
      <c r="M1" s="16"/>
      <c r="N1" s="16"/>
      <c r="O1" s="16"/>
      <c r="P1" s="16"/>
      <c r="Q1" s="16"/>
      <c r="R1" s="16"/>
      <c r="S1" s="16"/>
      <c r="T1" s="17" t="str">
        <f t="shared" ref="T1:AC1" si="0">VLOOKUP(MAX($A$3:$A$147),$A$3:$I$147,2)</f>
        <v/>
      </c>
      <c r="U1" s="17" t="str">
        <f t="shared" si="0"/>
        <v/>
      </c>
      <c r="V1" s="17" t="str">
        <f t="shared" si="0"/>
        <v/>
      </c>
      <c r="W1" s="17" t="str">
        <f t="shared" si="0"/>
        <v/>
      </c>
      <c r="X1" s="17" t="str">
        <f t="shared" si="0"/>
        <v/>
      </c>
      <c r="Y1" s="17" t="str">
        <f t="shared" si="0"/>
        <v/>
      </c>
      <c r="Z1" s="17" t="str">
        <f t="shared" si="0"/>
        <v/>
      </c>
      <c r="AA1" s="17" t="str">
        <f t="shared" si="0"/>
        <v/>
      </c>
      <c r="AB1" s="17" t="str">
        <f t="shared" si="0"/>
        <v/>
      </c>
      <c r="AC1" s="17" t="str">
        <f t="shared" si="0"/>
        <v/>
      </c>
      <c r="AD1" s="18"/>
      <c r="AE1" s="18"/>
      <c r="AF1" s="18"/>
      <c r="AG1" s="18"/>
      <c r="AH1" s="18"/>
    </row>
    <row r="2" spans="1:34" ht="16.5" thickBot="1" x14ac:dyDescent="0.3">
      <c r="A2" s="73"/>
      <c r="B2" s="73"/>
      <c r="C2" s="20"/>
      <c r="D2" s="20"/>
      <c r="E2" s="20"/>
      <c r="F2" s="20"/>
      <c r="G2" s="20"/>
      <c r="H2" s="20"/>
      <c r="I2" s="20"/>
      <c r="J2" s="22"/>
      <c r="K2" s="20"/>
      <c r="L2" s="23"/>
      <c r="M2" s="23"/>
      <c r="N2" s="23"/>
      <c r="O2" s="23"/>
      <c r="P2" s="23"/>
      <c r="Q2" s="23"/>
      <c r="R2" s="23"/>
      <c r="S2" s="23"/>
      <c r="T2" s="23"/>
      <c r="U2" s="23"/>
      <c r="V2" s="23"/>
      <c r="W2" s="23"/>
      <c r="X2" s="23"/>
      <c r="Y2" s="23"/>
      <c r="Z2" s="23"/>
      <c r="AA2" s="23"/>
      <c r="AB2" s="23"/>
      <c r="AC2" s="23"/>
      <c r="AD2" s="23"/>
      <c r="AE2" s="23"/>
      <c r="AF2" s="23"/>
      <c r="AG2" s="23"/>
      <c r="AH2" s="23"/>
    </row>
    <row r="3" spans="1:34" x14ac:dyDescent="0.25">
      <c r="A3" s="68" t="s">
        <v>38</v>
      </c>
      <c r="B3" s="68"/>
      <c r="C3" s="69" t="s">
        <v>39</v>
      </c>
      <c r="D3" s="69" t="s">
        <v>40</v>
      </c>
      <c r="E3" s="69" t="s">
        <v>41</v>
      </c>
      <c r="F3" s="68" t="s">
        <v>42</v>
      </c>
      <c r="G3" s="68" t="s">
        <v>43</v>
      </c>
      <c r="H3" s="68" t="s">
        <v>44</v>
      </c>
      <c r="I3" s="68" t="s">
        <v>45</v>
      </c>
      <c r="J3" s="68" t="s">
        <v>46</v>
      </c>
      <c r="K3" s="68" t="s">
        <v>47</v>
      </c>
      <c r="L3" s="23"/>
      <c r="M3" s="29"/>
      <c r="N3" s="30"/>
      <c r="O3" s="30"/>
      <c r="P3" s="30"/>
      <c r="Q3" s="30"/>
      <c r="R3" s="30"/>
      <c r="S3" s="30"/>
      <c r="T3" s="30"/>
      <c r="U3" s="30"/>
      <c r="V3" s="30"/>
      <c r="W3" s="30"/>
      <c r="X3" s="30"/>
      <c r="Y3" s="30"/>
      <c r="Z3" s="30"/>
      <c r="AA3" s="30"/>
      <c r="AB3" s="30"/>
      <c r="AC3" s="30"/>
      <c r="AD3" s="30"/>
      <c r="AE3" s="30"/>
      <c r="AF3" s="31"/>
      <c r="AG3" s="23"/>
      <c r="AH3" s="23"/>
    </row>
    <row r="4" spans="1:34" x14ac:dyDescent="0.25">
      <c r="A4" s="32">
        <v>1</v>
      </c>
      <c r="B4" s="32">
        <f>IF(C4&lt;&gt;"",A4,"")</f>
        <v>1</v>
      </c>
      <c r="C4" s="33" t="s">
        <v>48</v>
      </c>
      <c r="D4" s="34" t="s">
        <v>49</v>
      </c>
      <c r="E4" s="34" t="s">
        <v>50</v>
      </c>
      <c r="F4" s="34" t="s">
        <v>51</v>
      </c>
      <c r="G4" s="35" t="s">
        <v>52</v>
      </c>
      <c r="H4" s="35">
        <v>30062</v>
      </c>
      <c r="I4" s="33" t="s">
        <v>53</v>
      </c>
      <c r="J4" s="37" t="s">
        <v>54</v>
      </c>
      <c r="K4" s="70">
        <v>157665</v>
      </c>
      <c r="L4" s="23"/>
      <c r="M4" s="300" t="s">
        <v>55</v>
      </c>
      <c r="N4" s="301"/>
      <c r="O4" s="301"/>
      <c r="P4" s="301"/>
      <c r="Q4" s="301"/>
      <c r="R4" s="301"/>
      <c r="S4" s="301"/>
      <c r="T4" s="301"/>
      <c r="U4" s="301"/>
      <c r="V4" s="301"/>
      <c r="W4" s="301"/>
      <c r="X4" s="301"/>
      <c r="Y4" s="301"/>
      <c r="Z4" s="301"/>
      <c r="AA4" s="301"/>
      <c r="AB4" s="301"/>
      <c r="AC4" s="301"/>
      <c r="AD4" s="301"/>
      <c r="AE4" s="301"/>
      <c r="AF4" s="302"/>
      <c r="AG4" s="23"/>
      <c r="AH4" s="23"/>
    </row>
    <row r="5" spans="1:34" x14ac:dyDescent="0.25">
      <c r="A5" s="32">
        <v>2</v>
      </c>
      <c r="B5" s="32">
        <f t="shared" ref="B5:B29" si="1">IF(C5&lt;&gt;"",A5,"")</f>
        <v>2</v>
      </c>
      <c r="C5" s="39" t="s">
        <v>56</v>
      </c>
      <c r="D5" s="39" t="s">
        <v>57</v>
      </c>
      <c r="E5" s="39" t="s">
        <v>58</v>
      </c>
      <c r="F5" s="39" t="s">
        <v>51</v>
      </c>
      <c r="G5" s="40" t="s">
        <v>52</v>
      </c>
      <c r="H5" s="40">
        <v>30063</v>
      </c>
      <c r="I5" s="42" t="s">
        <v>59</v>
      </c>
      <c r="J5" s="43" t="s">
        <v>60</v>
      </c>
      <c r="K5" s="71">
        <v>156340</v>
      </c>
      <c r="L5" s="23"/>
      <c r="M5" s="45"/>
      <c r="N5" s="46"/>
      <c r="O5" s="46"/>
      <c r="P5" s="46"/>
      <c r="Q5" s="46"/>
      <c r="R5" s="46"/>
      <c r="S5" s="46"/>
      <c r="T5" s="46"/>
      <c r="U5" s="46"/>
      <c r="V5" s="46"/>
      <c r="W5" s="46"/>
      <c r="X5" s="46"/>
      <c r="Y5" s="46"/>
      <c r="Z5" s="46"/>
      <c r="AA5" s="46"/>
      <c r="AB5" s="46"/>
      <c r="AC5" s="46"/>
      <c r="AD5" s="46"/>
      <c r="AE5" s="46"/>
      <c r="AF5" s="47"/>
      <c r="AG5" s="23"/>
      <c r="AH5" s="23"/>
    </row>
    <row r="6" spans="1:34" x14ac:dyDescent="0.25">
      <c r="A6" s="32">
        <v>3</v>
      </c>
      <c r="B6" s="32">
        <f t="shared" si="1"/>
        <v>3</v>
      </c>
      <c r="C6" s="39" t="s">
        <v>61</v>
      </c>
      <c r="D6" s="42" t="s">
        <v>62</v>
      </c>
      <c r="E6" s="39" t="s">
        <v>63</v>
      </c>
      <c r="F6" s="39" t="s">
        <v>51</v>
      </c>
      <c r="G6" s="40" t="s">
        <v>52</v>
      </c>
      <c r="H6" s="40">
        <v>30064</v>
      </c>
      <c r="I6" s="42" t="s">
        <v>64</v>
      </c>
      <c r="J6" s="43" t="s">
        <v>65</v>
      </c>
      <c r="K6" s="71">
        <v>81480</v>
      </c>
      <c r="L6" s="23"/>
      <c r="M6" s="45"/>
      <c r="N6" s="48" t="s">
        <v>39</v>
      </c>
      <c r="O6" s="46"/>
      <c r="P6" s="46"/>
      <c r="Q6" s="49" t="str">
        <f>VLOOKUP(MAX($B$4:$B$104),$B$4:$K$104,2,FALSE)</f>
        <v>Collins</v>
      </c>
      <c r="R6" s="50"/>
      <c r="S6" s="50"/>
      <c r="T6" s="50"/>
      <c r="U6" s="50"/>
      <c r="V6" s="51"/>
      <c r="W6" s="46"/>
      <c r="X6" s="52" t="s">
        <v>42</v>
      </c>
      <c r="Y6" s="46"/>
      <c r="Z6" s="49" t="str">
        <f>VLOOKUP(MAX($B$4:$B$104),$B$4:$K$104,5,FALSE)</f>
        <v>Norcross</v>
      </c>
      <c r="AA6" s="50"/>
      <c r="AB6" s="50"/>
      <c r="AC6" s="50"/>
      <c r="AD6" s="50"/>
      <c r="AE6" s="51"/>
      <c r="AF6" s="47"/>
      <c r="AG6" s="23"/>
      <c r="AH6" s="23"/>
    </row>
    <row r="7" spans="1:34" x14ac:dyDescent="0.25">
      <c r="A7" s="32">
        <v>4</v>
      </c>
      <c r="B7" s="32">
        <f t="shared" si="1"/>
        <v>4</v>
      </c>
      <c r="C7" s="39" t="s">
        <v>66</v>
      </c>
      <c r="D7" s="42" t="s">
        <v>67</v>
      </c>
      <c r="E7" s="39" t="s">
        <v>68</v>
      </c>
      <c r="F7" s="39" t="s">
        <v>51</v>
      </c>
      <c r="G7" s="40" t="s">
        <v>52</v>
      </c>
      <c r="H7" s="40">
        <v>30065</v>
      </c>
      <c r="I7" s="42" t="s">
        <v>69</v>
      </c>
      <c r="J7" s="43" t="s">
        <v>54</v>
      </c>
      <c r="K7" s="71">
        <v>202578</v>
      </c>
      <c r="L7" s="23"/>
      <c r="M7" s="45"/>
      <c r="N7" s="46"/>
      <c r="O7" s="46"/>
      <c r="P7" s="46"/>
      <c r="Q7" s="46"/>
      <c r="R7" s="46"/>
      <c r="S7" s="46"/>
      <c r="T7" s="46"/>
      <c r="U7" s="46"/>
      <c r="V7" s="46"/>
      <c r="W7" s="46"/>
      <c r="X7" s="46"/>
      <c r="Y7" s="46"/>
      <c r="Z7" s="46"/>
      <c r="AA7" s="46"/>
      <c r="AB7" s="46"/>
      <c r="AC7" s="46"/>
      <c r="AD7" s="46"/>
      <c r="AE7" s="46"/>
      <c r="AF7" s="47"/>
      <c r="AG7" s="23"/>
      <c r="AH7" s="23"/>
    </row>
    <row r="8" spans="1:34" x14ac:dyDescent="0.25">
      <c r="A8" s="32">
        <v>5</v>
      </c>
      <c r="B8" s="32">
        <f t="shared" si="1"/>
        <v>5</v>
      </c>
      <c r="C8" s="42" t="s">
        <v>70</v>
      </c>
      <c r="D8" s="39" t="s">
        <v>71</v>
      </c>
      <c r="E8" s="39" t="s">
        <v>72</v>
      </c>
      <c r="F8" s="39" t="s">
        <v>51</v>
      </c>
      <c r="G8" s="40" t="s">
        <v>52</v>
      </c>
      <c r="H8" s="40">
        <v>30066</v>
      </c>
      <c r="I8" s="42" t="s">
        <v>73</v>
      </c>
      <c r="J8" s="43" t="s">
        <v>60</v>
      </c>
      <c r="K8" s="71">
        <v>177209</v>
      </c>
      <c r="L8" s="23"/>
      <c r="M8" s="45"/>
      <c r="N8" s="48" t="s">
        <v>40</v>
      </c>
      <c r="O8" s="46"/>
      <c r="P8" s="46"/>
      <c r="Q8" s="49" t="str">
        <f>VLOOKUP(MAX($B$4:$B$104),$B$4:$K$104,3,FALSE)</f>
        <v>Carlton</v>
      </c>
      <c r="R8" s="50"/>
      <c r="S8" s="50"/>
      <c r="T8" s="50"/>
      <c r="U8" s="50"/>
      <c r="V8" s="51"/>
      <c r="W8" s="46"/>
      <c r="X8" s="52" t="s">
        <v>43</v>
      </c>
      <c r="Y8" s="46"/>
      <c r="Z8" s="49" t="str">
        <f>VLOOKUP(MAX($B$4:$B$104),$B$4:$K$104,6,FALSE)</f>
        <v xml:space="preserve">GA </v>
      </c>
      <c r="AA8" s="50"/>
      <c r="AB8" s="50"/>
      <c r="AC8" s="50"/>
      <c r="AD8" s="50"/>
      <c r="AE8" s="51"/>
      <c r="AF8" s="47"/>
      <c r="AG8" s="23"/>
      <c r="AH8" s="23"/>
    </row>
    <row r="9" spans="1:34" x14ac:dyDescent="0.25">
      <c r="A9" s="32">
        <v>6</v>
      </c>
      <c r="B9" s="32">
        <f t="shared" si="1"/>
        <v>6</v>
      </c>
      <c r="C9" s="39" t="s">
        <v>74</v>
      </c>
      <c r="D9" s="39" t="s">
        <v>75</v>
      </c>
      <c r="E9" s="39" t="s">
        <v>76</v>
      </c>
      <c r="F9" s="39" t="s">
        <v>77</v>
      </c>
      <c r="G9" s="40" t="s">
        <v>52</v>
      </c>
      <c r="H9" s="40">
        <v>30092</v>
      </c>
      <c r="I9" s="42" t="s">
        <v>78</v>
      </c>
      <c r="J9" s="43" t="s">
        <v>65</v>
      </c>
      <c r="K9" s="71">
        <v>212254.23</v>
      </c>
      <c r="L9" s="23"/>
      <c r="M9" s="45"/>
      <c r="N9" s="46"/>
      <c r="O9" s="46"/>
      <c r="P9" s="46"/>
      <c r="Q9" s="46"/>
      <c r="R9" s="46"/>
      <c r="S9" s="46"/>
      <c r="T9" s="46"/>
      <c r="U9" s="46"/>
      <c r="V9" s="46"/>
      <c r="W9" s="46"/>
      <c r="X9" s="46"/>
      <c r="Y9" s="46"/>
      <c r="Z9" s="46"/>
      <c r="AA9" s="46"/>
      <c r="AB9" s="46"/>
      <c r="AC9" s="46"/>
      <c r="AD9" s="46"/>
      <c r="AE9" s="46"/>
      <c r="AF9" s="47"/>
      <c r="AG9" s="23"/>
      <c r="AH9" s="23"/>
    </row>
    <row r="10" spans="1:34" x14ac:dyDescent="0.25">
      <c r="A10" s="32">
        <v>7</v>
      </c>
      <c r="B10" s="32">
        <f t="shared" si="1"/>
        <v>7</v>
      </c>
      <c r="C10" s="39" t="s">
        <v>79</v>
      </c>
      <c r="D10" s="39" t="s">
        <v>80</v>
      </c>
      <c r="E10" s="39" t="s">
        <v>50</v>
      </c>
      <c r="F10" s="39" t="s">
        <v>81</v>
      </c>
      <c r="G10" s="40" t="s">
        <v>82</v>
      </c>
      <c r="H10" s="40">
        <v>30092</v>
      </c>
      <c r="I10" s="42" t="s">
        <v>53</v>
      </c>
      <c r="J10" s="43" t="s">
        <v>54</v>
      </c>
      <c r="K10" s="71">
        <v>124533.45</v>
      </c>
      <c r="L10" s="23"/>
      <c r="M10" s="45"/>
      <c r="N10" s="48" t="s">
        <v>41</v>
      </c>
      <c r="O10" s="46"/>
      <c r="P10" s="46"/>
      <c r="Q10" s="49" t="str">
        <f>VLOOKUP(MAX($B$4:$B$104),$B$4:$K$104,4,FALSE)</f>
        <v>100 Peachtree Street</v>
      </c>
      <c r="R10" s="50"/>
      <c r="S10" s="50"/>
      <c r="T10" s="50"/>
      <c r="U10" s="50"/>
      <c r="V10" s="51"/>
      <c r="W10" s="46"/>
      <c r="X10" s="52" t="s">
        <v>44</v>
      </c>
      <c r="Y10" s="46"/>
      <c r="Z10" s="49" t="str">
        <f>TEXT(VLOOKUP(MAX($B$4:$B$104),$B$4:$K$104,7,FALSE),0)</f>
        <v>30092</v>
      </c>
      <c r="AA10" s="50"/>
      <c r="AB10" s="50"/>
      <c r="AC10" s="50"/>
      <c r="AD10" s="50"/>
      <c r="AE10" s="51"/>
      <c r="AF10" s="47"/>
      <c r="AG10" s="23"/>
      <c r="AH10" s="23"/>
    </row>
    <row r="11" spans="1:34" x14ac:dyDescent="0.25">
      <c r="A11" s="32">
        <v>8</v>
      </c>
      <c r="B11" s="32" t="str">
        <f t="shared" si="1"/>
        <v/>
      </c>
      <c r="C11" s="39"/>
      <c r="D11" s="39"/>
      <c r="E11" s="39"/>
      <c r="F11" s="39"/>
      <c r="G11" s="39"/>
      <c r="H11" s="39"/>
      <c r="I11" s="39"/>
      <c r="J11" s="40"/>
      <c r="K11" s="71"/>
      <c r="L11" s="23"/>
      <c r="M11" s="45"/>
      <c r="N11" s="46"/>
      <c r="O11" s="46"/>
      <c r="P11" s="46"/>
      <c r="Q11" s="46"/>
      <c r="R11" s="46"/>
      <c r="S11" s="46"/>
      <c r="T11" s="46"/>
      <c r="U11" s="46"/>
      <c r="V11" s="46"/>
      <c r="W11" s="46"/>
      <c r="X11" s="46"/>
      <c r="Y11" s="46"/>
      <c r="Z11" s="46"/>
      <c r="AA11" s="46"/>
      <c r="AB11" s="46"/>
      <c r="AC11" s="46"/>
      <c r="AD11" s="46"/>
      <c r="AE11" s="46"/>
      <c r="AF11" s="47"/>
      <c r="AG11" s="23"/>
      <c r="AH11" s="23"/>
    </row>
    <row r="12" spans="1:34" x14ac:dyDescent="0.25">
      <c r="A12" s="32">
        <v>9</v>
      </c>
      <c r="B12" s="32" t="str">
        <f t="shared" si="1"/>
        <v/>
      </c>
      <c r="C12" s="39"/>
      <c r="D12" s="39"/>
      <c r="E12" s="39"/>
      <c r="F12" s="39"/>
      <c r="G12" s="39"/>
      <c r="H12" s="39"/>
      <c r="I12" s="39"/>
      <c r="J12" s="40"/>
      <c r="K12" s="39"/>
      <c r="L12" s="23"/>
      <c r="M12" s="45"/>
      <c r="N12" s="52" t="s">
        <v>45</v>
      </c>
      <c r="O12" s="46"/>
      <c r="P12" s="46"/>
      <c r="Q12" s="49" t="str">
        <f>VLOOKUP(MAX($B$4:$B$104),$B$4:$K$104,8,FALSE)</f>
        <v>770.842.5902</v>
      </c>
      <c r="R12" s="50"/>
      <c r="S12" s="50"/>
      <c r="T12" s="50"/>
      <c r="U12" s="50"/>
      <c r="V12" s="51"/>
      <c r="W12" s="46"/>
      <c r="X12" s="60" t="s">
        <v>99</v>
      </c>
      <c r="Y12" s="46"/>
      <c r="Z12" s="49" t="str">
        <f>VLOOKUP(MAX($B$4:$B$104),$B$4:$K$104,9,FALSE)</f>
        <v>Plan A</v>
      </c>
      <c r="AA12" s="50"/>
      <c r="AB12" s="50"/>
      <c r="AC12" s="50"/>
      <c r="AD12" s="50"/>
      <c r="AE12" s="51"/>
      <c r="AF12" s="47"/>
      <c r="AG12" s="23"/>
      <c r="AH12" s="23"/>
    </row>
    <row r="13" spans="1:34" x14ac:dyDescent="0.25">
      <c r="A13" s="32">
        <v>10</v>
      </c>
      <c r="B13" s="32" t="str">
        <f t="shared" si="1"/>
        <v/>
      </c>
      <c r="C13" s="39"/>
      <c r="D13" s="39"/>
      <c r="E13" s="39"/>
      <c r="F13" s="39"/>
      <c r="G13" s="39"/>
      <c r="H13" s="39"/>
      <c r="I13" s="39"/>
      <c r="J13" s="40"/>
      <c r="K13" s="39"/>
      <c r="L13" s="23"/>
      <c r="M13" s="45"/>
      <c r="N13" s="46"/>
      <c r="O13" s="46"/>
      <c r="P13" s="46"/>
      <c r="Q13" s="46"/>
      <c r="R13" s="46"/>
      <c r="S13" s="46"/>
      <c r="T13" s="46"/>
      <c r="U13" s="46"/>
      <c r="V13" s="46"/>
      <c r="W13" s="46"/>
      <c r="X13" s="46"/>
      <c r="Y13" s="46"/>
      <c r="Z13" s="46"/>
      <c r="AA13" s="46"/>
      <c r="AB13" s="46"/>
      <c r="AC13" s="46"/>
      <c r="AD13" s="46"/>
      <c r="AE13" s="46"/>
      <c r="AF13" s="47"/>
      <c r="AG13" s="23"/>
      <c r="AH13" s="23"/>
    </row>
    <row r="14" spans="1:34" x14ac:dyDescent="0.25">
      <c r="A14" s="32">
        <v>11</v>
      </c>
      <c r="B14" s="32" t="str">
        <f t="shared" si="1"/>
        <v/>
      </c>
      <c r="C14" s="39"/>
      <c r="D14" s="39"/>
      <c r="E14" s="39"/>
      <c r="F14" s="39"/>
      <c r="G14" s="39"/>
      <c r="H14" s="39"/>
      <c r="I14" s="39"/>
      <c r="J14" s="40"/>
      <c r="K14" s="39"/>
      <c r="L14" s="23"/>
      <c r="M14" s="45"/>
      <c r="N14" s="52" t="s">
        <v>90</v>
      </c>
      <c r="O14" s="46"/>
      <c r="P14" s="46"/>
      <c r="Q14" s="46"/>
      <c r="R14" s="46"/>
      <c r="S14" s="46"/>
      <c r="T14" s="46"/>
      <c r="U14" s="46"/>
      <c r="V14" s="46"/>
      <c r="W14" s="46"/>
      <c r="X14" s="46"/>
      <c r="Y14" s="46"/>
      <c r="Z14" s="49" t="str">
        <f>TEXT(VLOOKUP(MAX($B$4:$B$104),$B$4:$K$104,10,FALSE),"$#,###.##")</f>
        <v>$124,533.45</v>
      </c>
      <c r="AA14" s="50"/>
      <c r="AB14" s="50"/>
      <c r="AC14" s="50"/>
      <c r="AD14" s="50"/>
      <c r="AE14" s="51"/>
      <c r="AF14" s="47"/>
      <c r="AG14" s="23"/>
      <c r="AH14" s="23"/>
    </row>
    <row r="15" spans="1:34" x14ac:dyDescent="0.25">
      <c r="A15" s="32">
        <v>12</v>
      </c>
      <c r="B15" s="32" t="str">
        <f t="shared" si="1"/>
        <v/>
      </c>
      <c r="C15" s="39"/>
      <c r="D15" s="39"/>
      <c r="E15" s="39"/>
      <c r="F15" s="39"/>
      <c r="G15" s="39"/>
      <c r="H15" s="39"/>
      <c r="I15" s="39"/>
      <c r="J15" s="40"/>
      <c r="K15" s="39"/>
      <c r="L15" s="23"/>
      <c r="M15" s="45"/>
      <c r="N15" s="46"/>
      <c r="O15" s="46"/>
      <c r="P15" s="46"/>
      <c r="Q15" s="46"/>
      <c r="R15" s="46"/>
      <c r="S15" s="46"/>
      <c r="T15" s="46"/>
      <c r="U15" s="46"/>
      <c r="V15" s="46"/>
      <c r="W15" s="46"/>
      <c r="X15" s="46"/>
      <c r="Y15" s="46"/>
      <c r="Z15" s="46"/>
      <c r="AA15" s="46"/>
      <c r="AB15" s="46"/>
      <c r="AC15" s="46"/>
      <c r="AD15" s="46"/>
      <c r="AE15" s="46"/>
      <c r="AF15" s="47"/>
      <c r="AG15" s="23"/>
      <c r="AH15" s="23"/>
    </row>
    <row r="16" spans="1:34" x14ac:dyDescent="0.25">
      <c r="A16" s="32">
        <v>13</v>
      </c>
      <c r="B16" s="32" t="str">
        <f t="shared" si="1"/>
        <v/>
      </c>
      <c r="C16" s="39"/>
      <c r="D16" s="39"/>
      <c r="E16" s="39"/>
      <c r="F16" s="39"/>
      <c r="G16" s="39"/>
      <c r="H16" s="39"/>
      <c r="I16" s="39"/>
      <c r="J16" s="40"/>
      <c r="K16" s="39"/>
      <c r="L16" s="23"/>
      <c r="M16" s="303" t="s">
        <v>91</v>
      </c>
      <c r="N16" s="304"/>
      <c r="O16" s="304"/>
      <c r="P16" s="304"/>
      <c r="Q16" s="304"/>
      <c r="R16" s="304"/>
      <c r="S16" s="304"/>
      <c r="T16" s="304"/>
      <c r="U16" s="304"/>
      <c r="V16" s="304"/>
      <c r="W16" s="304"/>
      <c r="X16" s="304"/>
      <c r="Y16" s="304"/>
      <c r="Z16" s="304"/>
      <c r="AA16" s="304"/>
      <c r="AB16" s="304"/>
      <c r="AC16" s="304"/>
      <c r="AD16" s="304"/>
      <c r="AE16" s="304"/>
      <c r="AF16" s="305"/>
      <c r="AG16" s="23"/>
      <c r="AH16" s="23"/>
    </row>
    <row r="17" spans="1:34" ht="16.5" thickBot="1" x14ac:dyDescent="0.3">
      <c r="A17" s="32">
        <v>14</v>
      </c>
      <c r="B17" s="32" t="str">
        <f t="shared" si="1"/>
        <v/>
      </c>
      <c r="C17" s="39"/>
      <c r="D17" s="39"/>
      <c r="E17" s="39"/>
      <c r="F17" s="39"/>
      <c r="G17" s="39"/>
      <c r="H17" s="39"/>
      <c r="I17" s="39"/>
      <c r="J17" s="40"/>
      <c r="K17" s="39"/>
      <c r="L17" s="23"/>
      <c r="M17" s="61"/>
      <c r="N17" s="62"/>
      <c r="O17" s="62"/>
      <c r="P17" s="62"/>
      <c r="Q17" s="62"/>
      <c r="R17" s="62"/>
      <c r="S17" s="62"/>
      <c r="T17" s="62"/>
      <c r="U17" s="62"/>
      <c r="V17" s="62"/>
      <c r="W17" s="62"/>
      <c r="X17" s="62"/>
      <c r="Y17" s="62"/>
      <c r="Z17" s="62"/>
      <c r="AA17" s="62"/>
      <c r="AB17" s="62"/>
      <c r="AC17" s="62"/>
      <c r="AD17" s="62"/>
      <c r="AE17" s="62"/>
      <c r="AF17" s="63"/>
      <c r="AG17" s="23"/>
      <c r="AH17" s="23"/>
    </row>
    <row r="18" spans="1:34" x14ac:dyDescent="0.25">
      <c r="A18" s="32">
        <v>15</v>
      </c>
      <c r="B18" s="32" t="str">
        <f t="shared" si="1"/>
        <v/>
      </c>
      <c r="C18" s="39"/>
      <c r="D18" s="39"/>
      <c r="E18" s="39"/>
      <c r="F18" s="39"/>
      <c r="G18" s="39"/>
      <c r="H18" s="39"/>
      <c r="I18" s="39"/>
      <c r="J18" s="40"/>
      <c r="K18" s="39"/>
      <c r="L18" s="23"/>
      <c r="M18" s="23"/>
      <c r="N18" s="23"/>
      <c r="O18" s="23"/>
      <c r="P18" s="23"/>
      <c r="Q18" s="23"/>
      <c r="R18" s="23"/>
      <c r="S18" s="23"/>
      <c r="T18" s="23"/>
      <c r="U18" s="23"/>
      <c r="V18" s="23"/>
      <c r="W18" s="23"/>
      <c r="X18" s="23"/>
      <c r="Y18" s="23"/>
      <c r="Z18" s="23"/>
      <c r="AA18" s="23"/>
      <c r="AB18" s="23"/>
      <c r="AC18" s="23"/>
      <c r="AD18" s="23"/>
      <c r="AE18" s="23"/>
      <c r="AF18" s="23"/>
      <c r="AG18" s="23"/>
      <c r="AH18" s="23"/>
    </row>
    <row r="19" spans="1:34" x14ac:dyDescent="0.25">
      <c r="A19" s="32">
        <v>16</v>
      </c>
      <c r="B19" s="32" t="str">
        <f t="shared" si="1"/>
        <v/>
      </c>
      <c r="C19" s="39"/>
      <c r="D19" s="39"/>
      <c r="E19" s="39"/>
      <c r="F19" s="39"/>
      <c r="G19" s="39"/>
      <c r="H19" s="39"/>
      <c r="I19" s="39"/>
      <c r="J19" s="40"/>
      <c r="K19" s="39"/>
      <c r="L19" s="23"/>
      <c r="M19" s="23"/>
      <c r="N19" s="23"/>
      <c r="O19" s="23"/>
      <c r="P19" s="23"/>
      <c r="Q19" s="23"/>
      <c r="R19" s="23"/>
      <c r="S19" s="23"/>
      <c r="T19" s="23"/>
      <c r="U19" s="23"/>
      <c r="V19" s="23"/>
      <c r="W19" s="23"/>
      <c r="X19" s="23"/>
      <c r="Y19" s="23"/>
      <c r="Z19" s="23"/>
      <c r="AA19" s="23"/>
      <c r="AB19" s="23"/>
      <c r="AC19" s="23"/>
      <c r="AD19" s="23"/>
      <c r="AE19" s="23"/>
      <c r="AF19" s="23"/>
      <c r="AG19" s="23"/>
      <c r="AH19" s="23"/>
    </row>
    <row r="20" spans="1:34" x14ac:dyDescent="0.25">
      <c r="A20" s="32">
        <v>17</v>
      </c>
      <c r="B20" s="32" t="str">
        <f t="shared" si="1"/>
        <v/>
      </c>
      <c r="C20" s="39"/>
      <c r="D20" s="39"/>
      <c r="E20" s="39"/>
      <c r="F20" s="39"/>
      <c r="G20" s="39"/>
      <c r="H20" s="39"/>
      <c r="I20" s="39"/>
      <c r="J20" s="40"/>
      <c r="K20" s="39"/>
      <c r="L20" s="23"/>
      <c r="M20" s="23"/>
      <c r="N20" s="23"/>
      <c r="O20" s="23"/>
      <c r="P20" s="23"/>
      <c r="Q20" s="23"/>
      <c r="R20" s="23"/>
      <c r="S20" s="23"/>
      <c r="T20" s="23"/>
      <c r="U20" s="23"/>
      <c r="V20" s="23"/>
      <c r="W20" s="23"/>
      <c r="X20" s="23"/>
      <c r="Y20" s="23"/>
      <c r="Z20" s="23"/>
      <c r="AA20" s="23"/>
      <c r="AB20" s="23"/>
      <c r="AC20" s="23"/>
      <c r="AD20" s="23"/>
      <c r="AE20" s="23"/>
      <c r="AF20" s="23"/>
      <c r="AG20" s="23"/>
      <c r="AH20" s="23"/>
    </row>
    <row r="21" spans="1:34" x14ac:dyDescent="0.25">
      <c r="A21" s="32">
        <v>18</v>
      </c>
      <c r="B21" s="32" t="str">
        <f t="shared" si="1"/>
        <v/>
      </c>
      <c r="C21" s="39"/>
      <c r="D21" s="39"/>
      <c r="E21" s="39"/>
      <c r="F21" s="39"/>
      <c r="G21" s="39"/>
      <c r="H21" s="39"/>
      <c r="I21" s="39"/>
      <c r="J21" s="40"/>
      <c r="K21" s="39"/>
      <c r="L21" s="23"/>
      <c r="M21" s="23"/>
      <c r="N21" s="23"/>
      <c r="O21" s="23"/>
      <c r="P21" s="23"/>
      <c r="Q21" s="23"/>
      <c r="R21" s="23"/>
      <c r="S21" s="23"/>
      <c r="T21" s="23"/>
      <c r="U21" s="23"/>
      <c r="V21" s="23"/>
      <c r="W21" s="23"/>
      <c r="X21" s="23"/>
      <c r="Y21" s="23"/>
      <c r="Z21" s="23"/>
      <c r="AA21" s="23"/>
      <c r="AB21" s="23"/>
      <c r="AC21" s="23"/>
      <c r="AD21" s="23"/>
      <c r="AE21" s="23"/>
      <c r="AF21" s="23"/>
      <c r="AG21" s="23"/>
      <c r="AH21" s="23"/>
    </row>
    <row r="22" spans="1:34" x14ac:dyDescent="0.25">
      <c r="A22" s="32">
        <v>19</v>
      </c>
      <c r="B22" s="32" t="str">
        <f t="shared" si="1"/>
        <v/>
      </c>
      <c r="C22" s="39"/>
      <c r="D22" s="39"/>
      <c r="E22" s="39"/>
      <c r="F22" s="39"/>
      <c r="G22" s="39"/>
      <c r="H22" s="39"/>
      <c r="I22" s="39"/>
      <c r="J22" s="40"/>
      <c r="K22" s="39"/>
      <c r="L22" s="23"/>
      <c r="M22" s="23"/>
      <c r="N22" s="23"/>
      <c r="O22" s="23"/>
      <c r="P22" s="23"/>
      <c r="Q22" s="23"/>
      <c r="R22" s="23"/>
      <c r="S22" s="23"/>
      <c r="T22" s="23"/>
      <c r="U22" s="23"/>
      <c r="V22" s="23"/>
      <c r="W22" s="23"/>
      <c r="X22" s="23"/>
      <c r="Y22" s="23"/>
      <c r="Z22" s="23"/>
      <c r="AA22" s="23"/>
      <c r="AB22" s="23"/>
      <c r="AC22" s="23"/>
      <c r="AD22" s="23"/>
      <c r="AE22" s="23"/>
      <c r="AF22" s="23"/>
      <c r="AG22" s="23"/>
      <c r="AH22" s="23"/>
    </row>
    <row r="23" spans="1:34" x14ac:dyDescent="0.25">
      <c r="A23" s="32">
        <v>20</v>
      </c>
      <c r="B23" s="32" t="str">
        <f t="shared" si="1"/>
        <v/>
      </c>
      <c r="C23" s="39"/>
      <c r="D23" s="39"/>
      <c r="E23" s="39"/>
      <c r="F23" s="39"/>
      <c r="G23" s="39"/>
      <c r="H23" s="39"/>
      <c r="I23" s="39"/>
      <c r="J23" s="40"/>
      <c r="K23" s="39"/>
      <c r="L23" s="23"/>
      <c r="M23" s="23"/>
      <c r="N23" s="23"/>
      <c r="O23" s="23"/>
      <c r="P23" s="23"/>
      <c r="Q23" s="23"/>
      <c r="R23" s="23"/>
      <c r="S23" s="23"/>
      <c r="T23" s="23"/>
      <c r="U23" s="23"/>
      <c r="V23" s="23"/>
      <c r="W23" s="23"/>
      <c r="X23" s="23"/>
      <c r="Y23" s="23"/>
      <c r="Z23" s="23"/>
      <c r="AA23" s="23"/>
      <c r="AB23" s="23"/>
      <c r="AC23" s="23"/>
      <c r="AD23" s="23"/>
      <c r="AE23" s="23"/>
      <c r="AF23" s="23"/>
      <c r="AG23" s="23"/>
      <c r="AH23" s="23"/>
    </row>
    <row r="24" spans="1:34" x14ac:dyDescent="0.25">
      <c r="A24" s="32">
        <v>21</v>
      </c>
      <c r="B24" s="32" t="str">
        <f t="shared" si="1"/>
        <v/>
      </c>
      <c r="C24" s="39"/>
      <c r="D24" s="39"/>
      <c r="E24" s="39"/>
      <c r="F24" s="39"/>
      <c r="G24" s="39"/>
      <c r="H24" s="39"/>
      <c r="I24" s="39"/>
      <c r="J24" s="40"/>
      <c r="K24" s="39"/>
      <c r="L24" s="23"/>
      <c r="M24" s="23"/>
      <c r="N24" s="23"/>
      <c r="O24" s="23"/>
      <c r="P24" s="23"/>
      <c r="Q24" s="23"/>
      <c r="R24" s="23"/>
      <c r="S24" s="23"/>
      <c r="T24" s="23"/>
      <c r="U24" s="23"/>
      <c r="V24" s="23"/>
      <c r="W24" s="23"/>
      <c r="X24" s="23"/>
      <c r="Y24" s="23"/>
      <c r="Z24" s="23"/>
      <c r="AA24" s="23"/>
      <c r="AB24" s="23"/>
      <c r="AC24" s="23"/>
      <c r="AD24" s="23"/>
      <c r="AE24" s="23"/>
      <c r="AF24" s="23"/>
      <c r="AG24" s="23"/>
      <c r="AH24" s="23"/>
    </row>
    <row r="25" spans="1:34" x14ac:dyDescent="0.25">
      <c r="A25" s="32">
        <v>22</v>
      </c>
      <c r="B25" s="32" t="str">
        <f t="shared" si="1"/>
        <v/>
      </c>
      <c r="C25" s="39"/>
      <c r="D25" s="39"/>
      <c r="E25" s="39"/>
      <c r="F25" s="39"/>
      <c r="G25" s="39"/>
      <c r="H25" s="39"/>
      <c r="I25" s="39"/>
      <c r="J25" s="40"/>
      <c r="K25" s="39"/>
      <c r="L25" s="23"/>
      <c r="M25" s="23"/>
      <c r="N25" s="23"/>
      <c r="O25" s="23"/>
      <c r="P25" s="23"/>
      <c r="Q25" s="23"/>
      <c r="R25" s="23"/>
      <c r="S25" s="23"/>
      <c r="T25" s="23"/>
      <c r="U25" s="23"/>
      <c r="V25" s="23"/>
      <c r="W25" s="23"/>
      <c r="X25" s="23"/>
      <c r="Y25" s="23"/>
      <c r="Z25" s="23"/>
      <c r="AA25" s="23"/>
      <c r="AB25" s="23"/>
      <c r="AC25" s="23"/>
      <c r="AD25" s="23"/>
      <c r="AE25" s="23"/>
      <c r="AF25" s="23"/>
      <c r="AG25" s="23"/>
      <c r="AH25" s="23"/>
    </row>
    <row r="26" spans="1:34" x14ac:dyDescent="0.25">
      <c r="A26" s="32">
        <v>23</v>
      </c>
      <c r="B26" s="32" t="str">
        <f t="shared" si="1"/>
        <v/>
      </c>
      <c r="C26" s="39"/>
      <c r="D26" s="39"/>
      <c r="E26" s="39"/>
      <c r="F26" s="39"/>
      <c r="G26" s="39"/>
      <c r="H26" s="39"/>
      <c r="I26" s="39"/>
      <c r="J26" s="40"/>
      <c r="K26" s="39"/>
      <c r="L26" s="23"/>
      <c r="M26" s="23"/>
      <c r="N26" s="23"/>
      <c r="O26" s="23"/>
      <c r="P26" s="23"/>
      <c r="Q26" s="23"/>
      <c r="R26" s="23"/>
      <c r="S26" s="23"/>
      <c r="T26" s="23"/>
      <c r="U26" s="23"/>
      <c r="V26" s="23"/>
      <c r="W26" s="23"/>
      <c r="X26" s="23"/>
      <c r="Y26" s="23"/>
      <c r="Z26" s="23"/>
      <c r="AA26" s="23"/>
      <c r="AB26" s="23"/>
      <c r="AC26" s="23"/>
      <c r="AD26" s="23"/>
      <c r="AE26" s="23"/>
      <c r="AF26" s="23"/>
      <c r="AG26" s="23"/>
      <c r="AH26" s="23"/>
    </row>
    <row r="27" spans="1:34" x14ac:dyDescent="0.25">
      <c r="A27" s="32">
        <v>24</v>
      </c>
      <c r="B27" s="32" t="str">
        <f t="shared" si="1"/>
        <v/>
      </c>
      <c r="C27" s="39"/>
      <c r="D27" s="39"/>
      <c r="E27" s="39"/>
      <c r="F27" s="39"/>
      <c r="G27" s="39"/>
      <c r="H27" s="39"/>
      <c r="I27" s="39"/>
      <c r="J27" s="40"/>
      <c r="K27" s="39"/>
      <c r="L27" s="23"/>
      <c r="M27" s="23"/>
      <c r="N27" s="23"/>
      <c r="O27" s="23"/>
      <c r="P27" s="23"/>
      <c r="Q27" s="23"/>
      <c r="R27" s="23"/>
      <c r="S27" s="23"/>
      <c r="T27" s="23"/>
      <c r="U27" s="23"/>
      <c r="V27" s="23"/>
      <c r="W27" s="23"/>
      <c r="X27" s="23"/>
      <c r="Y27" s="23"/>
      <c r="Z27" s="23"/>
      <c r="AA27" s="23"/>
      <c r="AB27" s="23"/>
      <c r="AC27" s="23"/>
      <c r="AD27" s="23"/>
      <c r="AE27" s="23"/>
      <c r="AF27" s="23"/>
      <c r="AG27" s="23"/>
      <c r="AH27" s="23"/>
    </row>
    <row r="28" spans="1:34" x14ac:dyDescent="0.25">
      <c r="A28" s="32">
        <v>25</v>
      </c>
      <c r="B28" s="32" t="str">
        <f t="shared" si="1"/>
        <v/>
      </c>
      <c r="C28" s="39"/>
      <c r="D28" s="39"/>
      <c r="E28" s="39"/>
      <c r="F28" s="39"/>
      <c r="G28" s="39"/>
      <c r="H28" s="39"/>
      <c r="I28" s="39"/>
      <c r="J28" s="40"/>
      <c r="K28" s="39"/>
      <c r="L28" s="23"/>
      <c r="M28" s="23"/>
      <c r="N28" s="23"/>
      <c r="O28" s="23"/>
      <c r="P28" s="23"/>
      <c r="Q28" s="23"/>
      <c r="R28" s="23"/>
      <c r="S28" s="23"/>
      <c r="T28" s="23"/>
      <c r="U28" s="23"/>
      <c r="V28" s="23"/>
      <c r="W28" s="23"/>
      <c r="X28" s="23"/>
      <c r="Y28" s="23"/>
      <c r="Z28" s="23"/>
      <c r="AA28" s="23"/>
      <c r="AB28" s="23"/>
      <c r="AC28" s="23"/>
      <c r="AD28" s="23"/>
      <c r="AE28" s="23"/>
      <c r="AF28" s="23"/>
      <c r="AG28" s="23"/>
      <c r="AH28" s="23"/>
    </row>
    <row r="29" spans="1:34" x14ac:dyDescent="0.25">
      <c r="A29" s="32">
        <v>26</v>
      </c>
      <c r="B29" s="32" t="str">
        <f t="shared" si="1"/>
        <v/>
      </c>
      <c r="C29" s="39"/>
      <c r="D29" s="39"/>
      <c r="E29" s="39"/>
      <c r="F29" s="39"/>
      <c r="G29" s="39"/>
      <c r="H29" s="39"/>
      <c r="I29" s="39"/>
      <c r="J29" s="40"/>
      <c r="K29" s="39"/>
      <c r="L29" s="23"/>
      <c r="M29" s="23"/>
      <c r="N29" s="23"/>
      <c r="O29" s="23"/>
      <c r="P29" s="23"/>
      <c r="Q29" s="23"/>
      <c r="R29" s="23"/>
      <c r="S29" s="23"/>
      <c r="T29" s="23"/>
      <c r="U29" s="23"/>
      <c r="V29" s="23"/>
      <c r="W29" s="23"/>
      <c r="X29" s="23"/>
      <c r="Y29" s="23"/>
      <c r="Z29" s="23"/>
      <c r="AA29" s="23"/>
      <c r="AB29" s="23"/>
      <c r="AC29" s="23"/>
      <c r="AD29" s="23"/>
      <c r="AE29" s="23"/>
      <c r="AF29" s="23"/>
      <c r="AG29" s="23"/>
      <c r="AH29" s="23"/>
    </row>
  </sheetData>
  <mergeCells count="2">
    <mergeCell ref="M4:AF4"/>
    <mergeCell ref="M16:AF16"/>
  </mergeCells>
  <pageMargins left="0.7" right="0.7" top="0.75" bottom="0.75" header="0.3" footer="0.3"/>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dimension ref="A1:AG30"/>
  <sheetViews>
    <sheetView showGridLines="0" workbookViewId="0">
      <selection activeCell="J33" sqref="J33"/>
    </sheetView>
  </sheetViews>
  <sheetFormatPr defaultRowHeight="15.75" x14ac:dyDescent="0.25"/>
  <cols>
    <col min="1" max="1" width="7.875" bestFit="1" customWidth="1"/>
    <col min="2" max="3" width="10" bestFit="1" customWidth="1"/>
    <col min="4" max="4" width="19" bestFit="1" customWidth="1"/>
    <col min="5" max="5" width="8.375" bestFit="1" customWidth="1"/>
    <col min="6" max="6" width="5.375" bestFit="1" customWidth="1"/>
    <col min="7" max="7" width="5.875" bestFit="1" customWidth="1"/>
    <col min="8" max="8" width="11.875" bestFit="1" customWidth="1"/>
    <col min="9" max="9" width="11.875" customWidth="1"/>
    <col min="10" max="10" width="13.875" customWidth="1"/>
    <col min="11" max="11" width="3.75" customWidth="1"/>
    <col min="12" max="31" width="3.625" customWidth="1"/>
    <col min="32" max="32" width="3" customWidth="1"/>
  </cols>
  <sheetData>
    <row r="1" spans="1:33" x14ac:dyDescent="0.25">
      <c r="A1" s="16"/>
      <c r="B1" s="16"/>
      <c r="C1" s="16"/>
      <c r="D1" s="16"/>
      <c r="E1" s="16"/>
      <c r="F1" s="16"/>
      <c r="G1" s="16"/>
      <c r="H1" s="16"/>
      <c r="I1" s="16"/>
      <c r="J1" s="16"/>
      <c r="K1" s="16"/>
      <c r="L1" s="16"/>
      <c r="M1" s="16"/>
      <c r="N1" s="16"/>
      <c r="O1" s="16"/>
      <c r="P1" s="16"/>
      <c r="Q1" s="16"/>
      <c r="R1" s="16"/>
      <c r="S1" s="17">
        <f t="shared" ref="S1:AB1" si="0">VLOOKUP(MAX($A$3:$A$147),$A$3:$H$147,2)</f>
        <v>0</v>
      </c>
      <c r="T1" s="17">
        <f t="shared" si="0"/>
        <v>0</v>
      </c>
      <c r="U1" s="17">
        <f t="shared" si="0"/>
        <v>0</v>
      </c>
      <c r="V1" s="17">
        <f t="shared" si="0"/>
        <v>0</v>
      </c>
      <c r="W1" s="17">
        <f t="shared" si="0"/>
        <v>0</v>
      </c>
      <c r="X1" s="17">
        <f t="shared" si="0"/>
        <v>0</v>
      </c>
      <c r="Y1" s="17">
        <f t="shared" si="0"/>
        <v>0</v>
      </c>
      <c r="Z1" s="17">
        <f t="shared" si="0"/>
        <v>0</v>
      </c>
      <c r="AA1" s="17">
        <f t="shared" si="0"/>
        <v>0</v>
      </c>
      <c r="AB1" s="17">
        <f t="shared" si="0"/>
        <v>0</v>
      </c>
      <c r="AC1" s="18"/>
      <c r="AD1" s="18"/>
      <c r="AE1" s="18"/>
      <c r="AF1" s="18"/>
      <c r="AG1" s="18"/>
    </row>
    <row r="2" spans="1:33" ht="16.5" thickBot="1" x14ac:dyDescent="0.3">
      <c r="A2" s="73"/>
      <c r="B2" s="20"/>
      <c r="C2" s="20"/>
      <c r="D2" s="20"/>
      <c r="E2" s="20"/>
      <c r="F2" s="20"/>
      <c r="G2" s="20"/>
      <c r="H2" s="20"/>
      <c r="I2" s="22"/>
      <c r="J2" s="20"/>
      <c r="K2" s="23"/>
      <c r="L2" s="23"/>
      <c r="M2" s="23"/>
      <c r="N2" s="23"/>
      <c r="O2" s="23"/>
      <c r="P2" s="23"/>
      <c r="Q2" s="23"/>
      <c r="R2" s="23"/>
      <c r="S2" s="23"/>
      <c r="T2" s="23"/>
      <c r="U2" s="23"/>
      <c r="V2" s="23"/>
      <c r="W2" s="23"/>
      <c r="X2" s="23"/>
      <c r="Y2" s="23"/>
      <c r="Z2" s="23"/>
      <c r="AA2" s="23"/>
      <c r="AB2" s="23"/>
      <c r="AC2" s="23"/>
      <c r="AD2" s="23"/>
      <c r="AE2" s="23"/>
      <c r="AF2" s="23"/>
      <c r="AG2" s="23"/>
    </row>
    <row r="3" spans="1:33" x14ac:dyDescent="0.25">
      <c r="A3" s="68" t="s">
        <v>38</v>
      </c>
      <c r="B3" s="69" t="s">
        <v>39</v>
      </c>
      <c r="C3" s="69" t="s">
        <v>40</v>
      </c>
      <c r="D3" s="69" t="s">
        <v>41</v>
      </c>
      <c r="E3" s="68" t="s">
        <v>42</v>
      </c>
      <c r="F3" s="68" t="s">
        <v>43</v>
      </c>
      <c r="G3" s="68" t="s">
        <v>44</v>
      </c>
      <c r="H3" s="68" t="s">
        <v>45</v>
      </c>
      <c r="I3" s="68" t="s">
        <v>46</v>
      </c>
      <c r="J3" s="68" t="s">
        <v>47</v>
      </c>
      <c r="K3" s="23"/>
      <c r="L3" s="29"/>
      <c r="M3" s="30"/>
      <c r="N3" s="30"/>
      <c r="O3" s="30"/>
      <c r="P3" s="30"/>
      <c r="Q3" s="30"/>
      <c r="R3" s="30"/>
      <c r="S3" s="30"/>
      <c r="T3" s="30"/>
      <c r="U3" s="30"/>
      <c r="V3" s="30"/>
      <c r="W3" s="30"/>
      <c r="X3" s="30"/>
      <c r="Y3" s="30"/>
      <c r="Z3" s="30"/>
      <c r="AA3" s="30"/>
      <c r="AB3" s="30"/>
      <c r="AC3" s="30"/>
      <c r="AD3" s="30"/>
      <c r="AE3" s="31"/>
      <c r="AF3" s="23"/>
      <c r="AG3" s="23"/>
    </row>
    <row r="4" spans="1:33" x14ac:dyDescent="0.25">
      <c r="A4" s="32">
        <v>1</v>
      </c>
      <c r="B4" s="33" t="s">
        <v>48</v>
      </c>
      <c r="C4" s="34" t="s">
        <v>49</v>
      </c>
      <c r="D4" s="34" t="s">
        <v>50</v>
      </c>
      <c r="E4" s="34" t="s">
        <v>51</v>
      </c>
      <c r="F4" s="35" t="s">
        <v>52</v>
      </c>
      <c r="G4" s="35">
        <v>30062</v>
      </c>
      <c r="H4" s="33" t="s">
        <v>53</v>
      </c>
      <c r="I4" s="37" t="s">
        <v>54</v>
      </c>
      <c r="J4" s="70">
        <v>157665</v>
      </c>
      <c r="K4" s="23"/>
      <c r="L4" s="300" t="s">
        <v>55</v>
      </c>
      <c r="M4" s="301"/>
      <c r="N4" s="301"/>
      <c r="O4" s="301"/>
      <c r="P4" s="301"/>
      <c r="Q4" s="301"/>
      <c r="R4" s="301"/>
      <c r="S4" s="301"/>
      <c r="T4" s="301"/>
      <c r="U4" s="301"/>
      <c r="V4" s="301"/>
      <c r="W4" s="301"/>
      <c r="X4" s="301"/>
      <c r="Y4" s="301"/>
      <c r="Z4" s="301"/>
      <c r="AA4" s="301"/>
      <c r="AB4" s="301"/>
      <c r="AC4" s="301"/>
      <c r="AD4" s="301"/>
      <c r="AE4" s="302"/>
      <c r="AF4" s="23"/>
      <c r="AG4" s="23"/>
    </row>
    <row r="5" spans="1:33" x14ac:dyDescent="0.25">
      <c r="A5" s="32">
        <v>2</v>
      </c>
      <c r="B5" s="39" t="s">
        <v>56</v>
      </c>
      <c r="C5" s="39" t="s">
        <v>57</v>
      </c>
      <c r="D5" s="39" t="s">
        <v>58</v>
      </c>
      <c r="E5" s="39" t="s">
        <v>51</v>
      </c>
      <c r="F5" s="40" t="s">
        <v>52</v>
      </c>
      <c r="G5" s="40">
        <v>30063</v>
      </c>
      <c r="H5" s="42" t="s">
        <v>59</v>
      </c>
      <c r="I5" s="43" t="s">
        <v>60</v>
      </c>
      <c r="J5" s="71">
        <v>156340</v>
      </c>
      <c r="K5" s="23"/>
      <c r="L5" s="45"/>
      <c r="M5" s="46"/>
      <c r="N5" s="46"/>
      <c r="O5" s="46"/>
      <c r="P5" s="46"/>
      <c r="Q5" s="46"/>
      <c r="R5" s="46"/>
      <c r="S5" s="46"/>
      <c r="T5" s="46"/>
      <c r="U5" s="46"/>
      <c r="V5" s="46"/>
      <c r="W5" s="46"/>
      <c r="X5" s="46"/>
      <c r="Y5" s="46"/>
      <c r="Z5" s="46"/>
      <c r="AA5" s="46"/>
      <c r="AB5" s="46"/>
      <c r="AC5" s="46"/>
      <c r="AD5" s="46"/>
      <c r="AE5" s="47"/>
      <c r="AF5" s="23"/>
      <c r="AG5" s="23"/>
    </row>
    <row r="6" spans="1:33" x14ac:dyDescent="0.25">
      <c r="A6" s="32">
        <v>3</v>
      </c>
      <c r="B6" s="39" t="s">
        <v>61</v>
      </c>
      <c r="C6" s="42" t="s">
        <v>62</v>
      </c>
      <c r="D6" s="39" t="s">
        <v>63</v>
      </c>
      <c r="E6" s="39" t="s">
        <v>51</v>
      </c>
      <c r="F6" s="40" t="s">
        <v>52</v>
      </c>
      <c r="G6" s="40">
        <v>30064</v>
      </c>
      <c r="H6" s="42" t="s">
        <v>64</v>
      </c>
      <c r="I6" s="43" t="s">
        <v>65</v>
      </c>
      <c r="J6" s="71">
        <v>81480</v>
      </c>
      <c r="K6" s="23"/>
      <c r="L6" s="45"/>
      <c r="M6" s="48" t="s">
        <v>39</v>
      </c>
      <c r="N6" s="46"/>
      <c r="O6" s="46"/>
      <c r="P6" s="306" t="str">
        <f>VLOOKUP(COUNTA($B$4:$B$104),$A$4:$J$104,2,FALSE)</f>
        <v>Mo-rows</v>
      </c>
      <c r="Q6" s="314"/>
      <c r="R6" s="314"/>
      <c r="S6" s="314"/>
      <c r="T6" s="314"/>
      <c r="U6" s="315"/>
      <c r="V6" s="46"/>
      <c r="W6" s="52" t="s">
        <v>42</v>
      </c>
      <c r="X6" s="46"/>
      <c r="Y6" s="306" t="str">
        <f>VLOOKUP(COUNTA($B$4:$B$104),$A$4:$J$104,5,FALSE)</f>
        <v>Bankrupt</v>
      </c>
      <c r="Z6" s="314"/>
      <c r="AA6" s="314"/>
      <c r="AB6" s="314"/>
      <c r="AC6" s="314"/>
      <c r="AD6" s="315"/>
      <c r="AE6" s="47"/>
      <c r="AF6" s="23"/>
      <c r="AG6" s="23"/>
    </row>
    <row r="7" spans="1:33" x14ac:dyDescent="0.25">
      <c r="A7" s="32">
        <v>4</v>
      </c>
      <c r="B7" s="39" t="s">
        <v>66</v>
      </c>
      <c r="C7" s="42" t="s">
        <v>67</v>
      </c>
      <c r="D7" s="39" t="s">
        <v>68</v>
      </c>
      <c r="E7" s="39" t="s">
        <v>51</v>
      </c>
      <c r="F7" s="40" t="s">
        <v>52</v>
      </c>
      <c r="G7" s="40">
        <v>30065</v>
      </c>
      <c r="H7" s="42" t="s">
        <v>69</v>
      </c>
      <c r="I7" s="43" t="s">
        <v>54</v>
      </c>
      <c r="J7" s="71">
        <v>202578</v>
      </c>
      <c r="K7" s="23"/>
      <c r="L7" s="45"/>
      <c r="M7" s="46"/>
      <c r="N7" s="46"/>
      <c r="O7" s="46"/>
      <c r="P7" s="46"/>
      <c r="Q7" s="46"/>
      <c r="R7" s="46"/>
      <c r="S7" s="46"/>
      <c r="T7" s="46"/>
      <c r="U7" s="46"/>
      <c r="V7" s="46"/>
      <c r="W7" s="46"/>
      <c r="X7" s="46"/>
      <c r="Y7" s="46"/>
      <c r="Z7" s="46"/>
      <c r="AA7" s="46"/>
      <c r="AB7" s="46"/>
      <c r="AC7" s="46"/>
      <c r="AD7" s="46"/>
      <c r="AE7" s="47"/>
      <c r="AF7" s="23"/>
      <c r="AG7" s="23"/>
    </row>
    <row r="8" spans="1:33" x14ac:dyDescent="0.25">
      <c r="A8" s="32">
        <v>5</v>
      </c>
      <c r="B8" s="42" t="s">
        <v>70</v>
      </c>
      <c r="C8" s="39" t="s">
        <v>71</v>
      </c>
      <c r="D8" s="39" t="s">
        <v>72</v>
      </c>
      <c r="E8" s="39" t="s">
        <v>51</v>
      </c>
      <c r="F8" s="40" t="s">
        <v>52</v>
      </c>
      <c r="G8" s="40">
        <v>30066</v>
      </c>
      <c r="H8" s="42" t="s">
        <v>73</v>
      </c>
      <c r="I8" s="43" t="s">
        <v>60</v>
      </c>
      <c r="J8" s="71">
        <v>177209</v>
      </c>
      <c r="K8" s="23"/>
      <c r="L8" s="45"/>
      <c r="M8" s="48" t="s">
        <v>40</v>
      </c>
      <c r="N8" s="46"/>
      <c r="O8" s="46"/>
      <c r="P8" s="306" t="str">
        <f>VLOOKUP(COUNTA($B$4:$B$104),$A$4:$J$104,3,FALSE)</f>
        <v>Added</v>
      </c>
      <c r="Q8" s="314"/>
      <c r="R8" s="314"/>
      <c r="S8" s="314"/>
      <c r="T8" s="314"/>
      <c r="U8" s="315"/>
      <c r="V8" s="46"/>
      <c r="W8" s="52" t="s">
        <v>43</v>
      </c>
      <c r="X8" s="46"/>
      <c r="Y8" s="306" t="str">
        <f>VLOOKUP(COUNTA($B$4:$B$104),$A$4:$J$104,6,FALSE)</f>
        <v>MI</v>
      </c>
      <c r="Z8" s="314"/>
      <c r="AA8" s="314"/>
      <c r="AB8" s="314"/>
      <c r="AC8" s="314"/>
      <c r="AD8" s="315"/>
      <c r="AE8" s="47"/>
      <c r="AF8" s="23"/>
      <c r="AG8" s="23"/>
    </row>
    <row r="9" spans="1:33" x14ac:dyDescent="0.25">
      <c r="A9" s="32">
        <v>6</v>
      </c>
      <c r="B9" s="39" t="s">
        <v>74</v>
      </c>
      <c r="C9" s="39" t="s">
        <v>75</v>
      </c>
      <c r="D9" s="39" t="s">
        <v>76</v>
      </c>
      <c r="E9" s="39" t="s">
        <v>77</v>
      </c>
      <c r="F9" s="40" t="s">
        <v>52</v>
      </c>
      <c r="G9" s="40">
        <v>30092</v>
      </c>
      <c r="H9" s="42" t="s">
        <v>78</v>
      </c>
      <c r="I9" s="43" t="s">
        <v>65</v>
      </c>
      <c r="J9" s="71">
        <v>212254.23</v>
      </c>
      <c r="K9" s="23"/>
      <c r="L9" s="45"/>
      <c r="M9" s="46"/>
      <c r="N9" s="46"/>
      <c r="O9" s="46"/>
      <c r="P9" s="46"/>
      <c r="Q9" s="46"/>
      <c r="R9" s="46"/>
      <c r="S9" s="46"/>
      <c r="T9" s="46"/>
      <c r="U9" s="46"/>
      <c r="V9" s="46"/>
      <c r="W9" s="46"/>
      <c r="X9" s="46"/>
      <c r="Y9" s="46"/>
      <c r="Z9" s="46"/>
      <c r="AA9" s="46"/>
      <c r="AB9" s="46"/>
      <c r="AC9" s="46"/>
      <c r="AD9" s="46"/>
      <c r="AE9" s="47"/>
      <c r="AF9" s="23"/>
      <c r="AG9" s="23"/>
    </row>
    <row r="10" spans="1:33" x14ac:dyDescent="0.25">
      <c r="A10" s="32">
        <v>7</v>
      </c>
      <c r="B10" s="39" t="s">
        <v>79</v>
      </c>
      <c r="C10" s="39" t="s">
        <v>80</v>
      </c>
      <c r="D10" s="39" t="s">
        <v>50</v>
      </c>
      <c r="E10" s="39" t="s">
        <v>81</v>
      </c>
      <c r="F10" s="40" t="s">
        <v>82</v>
      </c>
      <c r="G10" s="40">
        <v>30092</v>
      </c>
      <c r="H10" s="42" t="s">
        <v>53</v>
      </c>
      <c r="I10" s="43" t="s">
        <v>54</v>
      </c>
      <c r="J10" s="71">
        <v>124533.45</v>
      </c>
      <c r="K10" s="23"/>
      <c r="L10" s="45"/>
      <c r="M10" s="48" t="s">
        <v>41</v>
      </c>
      <c r="N10" s="46"/>
      <c r="O10" s="46"/>
      <c r="P10" s="306" t="str">
        <f>VLOOKUP(COUNTA($B$4:$B$104),$A$4:$J$104,4,FALSE)</f>
        <v>1297 Pension Way</v>
      </c>
      <c r="Q10" s="314"/>
      <c r="R10" s="314"/>
      <c r="S10" s="314"/>
      <c r="T10" s="314"/>
      <c r="U10" s="315"/>
      <c r="V10" s="46"/>
      <c r="W10" s="52" t="s">
        <v>44</v>
      </c>
      <c r="X10" s="46"/>
      <c r="Y10" s="306" t="str">
        <f>TEXT(VLOOKUP(COUNTA($B$4:$B$104),$A$4:$J$104,7,FALSE),0)</f>
        <v>18937</v>
      </c>
      <c r="Z10" s="314"/>
      <c r="AA10" s="314"/>
      <c r="AB10" s="314"/>
      <c r="AC10" s="314"/>
      <c r="AD10" s="315"/>
      <c r="AE10" s="47"/>
      <c r="AF10" s="23"/>
      <c r="AG10" s="23"/>
    </row>
    <row r="11" spans="1:33" x14ac:dyDescent="0.25">
      <c r="A11" s="32">
        <v>8</v>
      </c>
      <c r="B11" s="39" t="s">
        <v>274</v>
      </c>
      <c r="C11" s="39" t="s">
        <v>275</v>
      </c>
      <c r="D11" s="39" t="s">
        <v>276</v>
      </c>
      <c r="E11" s="39" t="s">
        <v>277</v>
      </c>
      <c r="F11" s="40" t="s">
        <v>278</v>
      </c>
      <c r="G11" s="39">
        <v>15937</v>
      </c>
      <c r="H11" s="222" t="s">
        <v>279</v>
      </c>
      <c r="I11" s="40" t="s">
        <v>141</v>
      </c>
      <c r="J11" s="71">
        <v>12518.94</v>
      </c>
      <c r="K11" s="23"/>
      <c r="L11" s="45"/>
      <c r="M11" s="46"/>
      <c r="N11" s="46"/>
      <c r="O11" s="46"/>
      <c r="P11" s="46"/>
      <c r="Q11" s="46"/>
      <c r="R11" s="46"/>
      <c r="S11" s="46"/>
      <c r="T11" s="46"/>
      <c r="U11" s="46"/>
      <c r="V11" s="46"/>
      <c r="W11" s="46"/>
      <c r="X11" s="46"/>
      <c r="Y11" s="46"/>
      <c r="Z11" s="46"/>
      <c r="AA11" s="46"/>
      <c r="AB11" s="46"/>
      <c r="AC11" s="46"/>
      <c r="AD11" s="46"/>
      <c r="AE11" s="47"/>
      <c r="AF11" s="23"/>
      <c r="AG11" s="23"/>
    </row>
    <row r="12" spans="1:33" x14ac:dyDescent="0.25">
      <c r="A12" s="32">
        <v>9</v>
      </c>
      <c r="B12" s="39" t="s">
        <v>280</v>
      </c>
      <c r="C12" s="39" t="s">
        <v>281</v>
      </c>
      <c r="D12" s="39" t="s">
        <v>282</v>
      </c>
      <c r="E12" s="39" t="s">
        <v>283</v>
      </c>
      <c r="F12" s="40" t="s">
        <v>284</v>
      </c>
      <c r="G12" s="39">
        <v>18937</v>
      </c>
      <c r="H12" s="222" t="s">
        <v>285</v>
      </c>
      <c r="I12" s="40" t="s">
        <v>286</v>
      </c>
      <c r="J12" s="71">
        <v>-197357.84</v>
      </c>
      <c r="K12" s="23"/>
      <c r="L12" s="45"/>
      <c r="M12" s="52" t="s">
        <v>45</v>
      </c>
      <c r="N12" s="46"/>
      <c r="O12" s="46"/>
      <c r="P12" s="306" t="str">
        <f>VLOOKUP(COUNTA($B$4:$B$104),$A$4:$J$104,8,FALSE)</f>
        <v>800.147.9837</v>
      </c>
      <c r="Q12" s="314"/>
      <c r="R12" s="314"/>
      <c r="S12" s="314"/>
      <c r="T12" s="314"/>
      <c r="U12" s="315"/>
      <c r="V12" s="46"/>
      <c r="W12" s="60" t="s">
        <v>99</v>
      </c>
      <c r="X12" s="46"/>
      <c r="Y12" s="306" t="str">
        <f>VLOOKUP(COUNTA($B$4:$B$104),$A$4:$J$104,9,FALSE)</f>
        <v>Plan Broke</v>
      </c>
      <c r="Z12" s="314"/>
      <c r="AA12" s="314"/>
      <c r="AB12" s="314"/>
      <c r="AC12" s="314"/>
      <c r="AD12" s="315"/>
      <c r="AE12" s="47"/>
      <c r="AF12" s="23"/>
      <c r="AG12" s="23"/>
    </row>
    <row r="13" spans="1:33" x14ac:dyDescent="0.25">
      <c r="A13" s="32">
        <v>10</v>
      </c>
      <c r="B13" s="39"/>
      <c r="C13" s="39"/>
      <c r="D13" s="39"/>
      <c r="E13" s="39"/>
      <c r="F13" s="39"/>
      <c r="G13" s="39"/>
      <c r="H13" s="39"/>
      <c r="I13" s="40"/>
      <c r="J13" s="71"/>
      <c r="K13" s="23"/>
      <c r="L13" s="45"/>
      <c r="M13" s="46"/>
      <c r="N13" s="46"/>
      <c r="O13" s="46"/>
      <c r="P13" s="46"/>
      <c r="Q13" s="46"/>
      <c r="R13" s="46"/>
      <c r="S13" s="46"/>
      <c r="T13" s="46"/>
      <c r="U13" s="46"/>
      <c r="V13" s="46"/>
      <c r="W13" s="46"/>
      <c r="X13" s="46"/>
      <c r="Y13" s="46"/>
      <c r="Z13" s="46"/>
      <c r="AA13" s="46"/>
      <c r="AB13" s="46"/>
      <c r="AC13" s="46"/>
      <c r="AD13" s="46"/>
      <c r="AE13" s="47"/>
      <c r="AF13" s="23"/>
      <c r="AG13" s="23"/>
    </row>
    <row r="14" spans="1:33" x14ac:dyDescent="0.25">
      <c r="A14" s="32">
        <v>11</v>
      </c>
      <c r="B14" s="39"/>
      <c r="C14" s="39"/>
      <c r="D14" s="39"/>
      <c r="E14" s="39"/>
      <c r="F14" s="39"/>
      <c r="G14" s="39"/>
      <c r="H14" s="39"/>
      <c r="I14" s="40"/>
      <c r="J14" s="71"/>
      <c r="K14" s="23"/>
      <c r="L14" s="45"/>
      <c r="M14" s="52" t="s">
        <v>90</v>
      </c>
      <c r="N14" s="46"/>
      <c r="O14" s="46"/>
      <c r="P14" s="46"/>
      <c r="Q14" s="46"/>
      <c r="R14" s="46"/>
      <c r="S14" s="46"/>
      <c r="T14" s="46"/>
      <c r="U14" s="46"/>
      <c r="V14" s="46"/>
      <c r="W14" s="46"/>
      <c r="X14" s="46"/>
      <c r="Y14" s="379">
        <f>VLOOKUP(COUNTA($B$4:$B$104),$A$4:$J$104,10,FALSE)</f>
        <v>-197357.84</v>
      </c>
      <c r="Z14" s="380"/>
      <c r="AA14" s="380"/>
      <c r="AB14" s="380"/>
      <c r="AC14" s="380"/>
      <c r="AD14" s="381"/>
      <c r="AE14" s="47"/>
      <c r="AF14" s="23"/>
      <c r="AG14" s="23"/>
    </row>
    <row r="15" spans="1:33" x14ac:dyDescent="0.25">
      <c r="A15" s="32">
        <v>12</v>
      </c>
      <c r="B15" s="39"/>
      <c r="C15" s="39"/>
      <c r="D15" s="39"/>
      <c r="E15" s="39"/>
      <c r="F15" s="39"/>
      <c r="G15" s="39"/>
      <c r="H15" s="39"/>
      <c r="I15" s="40"/>
      <c r="J15" s="71"/>
      <c r="K15" s="23"/>
      <c r="L15" s="45"/>
      <c r="M15" s="46"/>
      <c r="N15" s="46"/>
      <c r="O15" s="46"/>
      <c r="P15" s="46"/>
      <c r="Q15" s="46"/>
      <c r="R15" s="46"/>
      <c r="S15" s="46"/>
      <c r="T15" s="46"/>
      <c r="U15" s="46"/>
      <c r="V15" s="46"/>
      <c r="W15" s="46"/>
      <c r="X15" s="46"/>
      <c r="Y15" s="46"/>
      <c r="Z15" s="46"/>
      <c r="AA15" s="46"/>
      <c r="AB15" s="46"/>
      <c r="AC15" s="46"/>
      <c r="AD15" s="46"/>
      <c r="AE15" s="47"/>
      <c r="AF15" s="23"/>
      <c r="AG15" s="23"/>
    </row>
    <row r="16" spans="1:33" x14ac:dyDescent="0.25">
      <c r="A16" s="32">
        <v>13</v>
      </c>
      <c r="B16" s="39"/>
      <c r="C16" s="39"/>
      <c r="D16" s="39"/>
      <c r="E16" s="39"/>
      <c r="F16" s="39"/>
      <c r="G16" s="39"/>
      <c r="H16" s="39"/>
      <c r="I16" s="40"/>
      <c r="J16" s="71"/>
      <c r="K16" s="23"/>
      <c r="L16" s="303" t="s">
        <v>91</v>
      </c>
      <c r="M16" s="304"/>
      <c r="N16" s="304"/>
      <c r="O16" s="304"/>
      <c r="P16" s="304"/>
      <c r="Q16" s="304"/>
      <c r="R16" s="304"/>
      <c r="S16" s="304"/>
      <c r="T16" s="304"/>
      <c r="U16" s="304"/>
      <c r="V16" s="304"/>
      <c r="W16" s="304"/>
      <c r="X16" s="304"/>
      <c r="Y16" s="304"/>
      <c r="Z16" s="304"/>
      <c r="AA16" s="304"/>
      <c r="AB16" s="304"/>
      <c r="AC16" s="304"/>
      <c r="AD16" s="304"/>
      <c r="AE16" s="305"/>
      <c r="AF16" s="23"/>
      <c r="AG16" s="23"/>
    </row>
    <row r="17" spans="1:33" ht="16.5" thickBot="1" x14ac:dyDescent="0.3">
      <c r="A17" s="32">
        <v>14</v>
      </c>
      <c r="B17" s="39"/>
      <c r="C17" s="39"/>
      <c r="D17" s="39"/>
      <c r="E17" s="39"/>
      <c r="F17" s="39"/>
      <c r="G17" s="39"/>
      <c r="H17" s="39"/>
      <c r="I17" s="40"/>
      <c r="J17" s="71"/>
      <c r="K17" s="23"/>
      <c r="L17" s="61"/>
      <c r="M17" s="62"/>
      <c r="N17" s="62"/>
      <c r="O17" s="62"/>
      <c r="P17" s="62"/>
      <c r="Q17" s="62"/>
      <c r="R17" s="62"/>
      <c r="S17" s="62"/>
      <c r="T17" s="62"/>
      <c r="U17" s="62"/>
      <c r="V17" s="62"/>
      <c r="W17" s="62"/>
      <c r="X17" s="62"/>
      <c r="Y17" s="62"/>
      <c r="Z17" s="62"/>
      <c r="AA17" s="62"/>
      <c r="AB17" s="62"/>
      <c r="AC17" s="62"/>
      <c r="AD17" s="62"/>
      <c r="AE17" s="63"/>
      <c r="AF17" s="23"/>
      <c r="AG17" s="23"/>
    </row>
    <row r="18" spans="1:33" x14ac:dyDescent="0.25">
      <c r="A18" s="32">
        <v>15</v>
      </c>
      <c r="B18" s="39"/>
      <c r="C18" s="39"/>
      <c r="D18" s="39"/>
      <c r="E18" s="39"/>
      <c r="F18" s="39"/>
      <c r="G18" s="39"/>
      <c r="H18" s="39"/>
      <c r="I18" s="40"/>
      <c r="J18" s="71"/>
      <c r="K18" s="23"/>
      <c r="L18" s="23"/>
      <c r="M18" s="23"/>
      <c r="N18" s="23"/>
      <c r="O18" s="23"/>
      <c r="P18" s="23"/>
      <c r="Q18" s="23"/>
      <c r="R18" s="23"/>
      <c r="S18" s="23"/>
      <c r="T18" s="23"/>
      <c r="U18" s="23"/>
      <c r="V18" s="23"/>
      <c r="W18" s="23"/>
      <c r="X18" s="23"/>
      <c r="Y18" s="23"/>
      <c r="Z18" s="23"/>
      <c r="AA18" s="23"/>
      <c r="AB18" s="23"/>
      <c r="AC18" s="23"/>
      <c r="AD18" s="23"/>
      <c r="AE18" s="23"/>
      <c r="AF18" s="23"/>
      <c r="AG18" s="23"/>
    </row>
    <row r="19" spans="1:33" x14ac:dyDescent="0.25">
      <c r="A19" s="32">
        <v>16</v>
      </c>
      <c r="B19" s="39"/>
      <c r="C19" s="39"/>
      <c r="D19" s="39"/>
      <c r="E19" s="39"/>
      <c r="F19" s="39"/>
      <c r="G19" s="39"/>
      <c r="H19" s="39"/>
      <c r="I19" s="40"/>
      <c r="J19" s="71"/>
      <c r="K19" s="23"/>
      <c r="L19" s="23"/>
      <c r="M19" s="23"/>
      <c r="N19" s="23"/>
      <c r="O19" s="23"/>
      <c r="P19" s="23"/>
      <c r="Q19" s="23"/>
      <c r="R19" s="23"/>
      <c r="S19" s="23"/>
      <c r="T19" s="23"/>
      <c r="U19" s="23"/>
      <c r="V19" s="23"/>
      <c r="W19" s="23"/>
      <c r="X19" s="23"/>
      <c r="Y19" s="23"/>
      <c r="Z19" s="23"/>
      <c r="AA19" s="23"/>
      <c r="AB19" s="23"/>
      <c r="AC19" s="23"/>
      <c r="AD19" s="23"/>
      <c r="AE19" s="23"/>
      <c r="AF19" s="23"/>
      <c r="AG19" s="23"/>
    </row>
    <row r="20" spans="1:33" x14ac:dyDescent="0.25">
      <c r="A20" s="32">
        <v>17</v>
      </c>
      <c r="B20" s="39"/>
      <c r="C20" s="39"/>
      <c r="D20" s="39"/>
      <c r="E20" s="39"/>
      <c r="F20" s="39"/>
      <c r="G20" s="39"/>
      <c r="H20" s="39"/>
      <c r="I20" s="40"/>
      <c r="J20" s="71"/>
      <c r="K20" s="23"/>
      <c r="L20" s="23"/>
      <c r="M20" s="23"/>
      <c r="N20" s="23"/>
      <c r="O20" s="23"/>
      <c r="P20" s="23"/>
      <c r="Q20" s="23"/>
      <c r="R20" s="23"/>
      <c r="S20" s="23"/>
      <c r="T20" s="23"/>
      <c r="U20" s="23"/>
      <c r="V20" s="23"/>
      <c r="W20" s="23"/>
      <c r="X20" s="23"/>
      <c r="Y20" s="23"/>
      <c r="Z20" s="23"/>
      <c r="AA20" s="23"/>
      <c r="AB20" s="23"/>
      <c r="AC20" s="23"/>
      <c r="AD20" s="23"/>
      <c r="AE20" s="23"/>
      <c r="AF20" s="23"/>
      <c r="AG20" s="23"/>
    </row>
    <row r="21" spans="1:33" x14ac:dyDescent="0.25">
      <c r="A21" s="32">
        <v>18</v>
      </c>
      <c r="B21" s="39"/>
      <c r="C21" s="39"/>
      <c r="D21" s="39"/>
      <c r="E21" s="39"/>
      <c r="F21" s="39"/>
      <c r="G21" s="39"/>
      <c r="H21" s="39"/>
      <c r="I21" s="40"/>
      <c r="J21" s="71"/>
      <c r="K21" s="23"/>
      <c r="L21" s="23"/>
      <c r="M21" s="23"/>
      <c r="N21" s="23"/>
      <c r="O21" s="23"/>
      <c r="P21" s="23"/>
      <c r="Q21" s="23"/>
      <c r="R21" s="23"/>
      <c r="S21" s="23"/>
      <c r="T21" s="23"/>
      <c r="U21" s="23"/>
      <c r="V21" s="23"/>
      <c r="W21" s="23"/>
      <c r="X21" s="23"/>
      <c r="Y21" s="23"/>
      <c r="Z21" s="23"/>
      <c r="AA21" s="23"/>
      <c r="AB21" s="23"/>
      <c r="AC21" s="23"/>
      <c r="AD21" s="23"/>
      <c r="AE21" s="23"/>
      <c r="AF21" s="23"/>
      <c r="AG21" s="23"/>
    </row>
    <row r="22" spans="1:33" x14ac:dyDescent="0.25">
      <c r="A22" s="32">
        <v>19</v>
      </c>
      <c r="B22" s="39"/>
      <c r="C22" s="39"/>
      <c r="D22" s="39"/>
      <c r="E22" s="39"/>
      <c r="F22" s="39"/>
      <c r="G22" s="39"/>
      <c r="H22" s="39"/>
      <c r="I22" s="40"/>
      <c r="J22" s="71"/>
      <c r="K22" s="23"/>
      <c r="L22" s="23"/>
      <c r="M22" s="23"/>
      <c r="N22" s="23"/>
      <c r="O22" s="23"/>
      <c r="P22" s="23"/>
      <c r="Q22" s="23"/>
      <c r="R22" s="23"/>
      <c r="S22" s="23"/>
      <c r="T22" s="23"/>
      <c r="U22" s="23"/>
      <c r="V22" s="23"/>
      <c r="W22" s="23"/>
      <c r="X22" s="23"/>
      <c r="Y22" s="23"/>
      <c r="Z22" s="23"/>
      <c r="AA22" s="23"/>
      <c r="AB22" s="23"/>
      <c r="AC22" s="23"/>
      <c r="AD22" s="23"/>
      <c r="AE22" s="23"/>
      <c r="AF22" s="23"/>
      <c r="AG22" s="23"/>
    </row>
    <row r="23" spans="1:33" x14ac:dyDescent="0.25">
      <c r="A23" s="32">
        <v>20</v>
      </c>
      <c r="B23" s="39"/>
      <c r="C23" s="39"/>
      <c r="D23" s="39"/>
      <c r="E23" s="39"/>
      <c r="F23" s="39"/>
      <c r="G23" s="39"/>
      <c r="H23" s="39"/>
      <c r="I23" s="40"/>
      <c r="J23" s="71"/>
      <c r="K23" s="23"/>
      <c r="L23" s="23"/>
      <c r="M23" s="23"/>
      <c r="N23" s="23"/>
      <c r="O23" s="23"/>
      <c r="P23" s="23"/>
      <c r="Q23" s="23"/>
      <c r="R23" s="23"/>
      <c r="S23" s="23"/>
      <c r="T23" s="23"/>
      <c r="U23" s="23"/>
      <c r="V23" s="23"/>
      <c r="W23" s="23"/>
      <c r="X23" s="23"/>
      <c r="Y23" s="23"/>
      <c r="Z23" s="23"/>
      <c r="AA23" s="23"/>
      <c r="AB23" s="23"/>
      <c r="AC23" s="23"/>
      <c r="AD23" s="23"/>
      <c r="AE23" s="23"/>
      <c r="AF23" s="23"/>
      <c r="AG23" s="23"/>
    </row>
    <row r="24" spans="1:33" x14ac:dyDescent="0.25">
      <c r="A24" s="32">
        <v>21</v>
      </c>
      <c r="B24" s="39"/>
      <c r="C24" s="39"/>
      <c r="D24" s="39"/>
      <c r="E24" s="39"/>
      <c r="F24" s="39"/>
      <c r="G24" s="39"/>
      <c r="H24" s="39"/>
      <c r="I24" s="40"/>
      <c r="J24" s="71"/>
      <c r="K24" s="23"/>
      <c r="L24" s="23"/>
      <c r="M24" s="23"/>
      <c r="N24" s="23"/>
      <c r="O24" s="23"/>
      <c r="P24" s="23"/>
      <c r="Q24" s="23"/>
      <c r="R24" s="23"/>
      <c r="S24" s="23"/>
      <c r="T24" s="23"/>
      <c r="U24" s="23"/>
      <c r="V24" s="23"/>
      <c r="W24" s="23"/>
      <c r="X24" s="23"/>
      <c r="Y24" s="23"/>
      <c r="Z24" s="23"/>
      <c r="AA24" s="23"/>
      <c r="AB24" s="23"/>
      <c r="AC24" s="23"/>
      <c r="AD24" s="23"/>
      <c r="AE24" s="23"/>
      <c r="AF24" s="23"/>
      <c r="AG24" s="23"/>
    </row>
    <row r="25" spans="1:33" x14ac:dyDescent="0.25">
      <c r="A25" s="32">
        <v>22</v>
      </c>
      <c r="B25" s="39"/>
      <c r="C25" s="39"/>
      <c r="D25" s="39"/>
      <c r="E25" s="39"/>
      <c r="F25" s="39"/>
      <c r="G25" s="39"/>
      <c r="H25" s="39"/>
      <c r="I25" s="40"/>
      <c r="J25" s="71"/>
      <c r="K25" s="23"/>
      <c r="L25" s="23"/>
      <c r="M25" s="23"/>
      <c r="N25" s="23"/>
      <c r="O25" s="23"/>
      <c r="P25" s="23"/>
      <c r="Q25" s="23"/>
      <c r="R25" s="23"/>
      <c r="S25" s="23"/>
      <c r="T25" s="23"/>
      <c r="U25" s="23"/>
      <c r="V25" s="23"/>
      <c r="W25" s="23"/>
      <c r="X25" s="23"/>
      <c r="Y25" s="23"/>
      <c r="Z25" s="23"/>
      <c r="AA25" s="23"/>
      <c r="AB25" s="23"/>
      <c r="AC25" s="23"/>
      <c r="AD25" s="23"/>
      <c r="AE25" s="23"/>
      <c r="AF25" s="23"/>
      <c r="AG25" s="23"/>
    </row>
    <row r="26" spans="1:33" x14ac:dyDescent="0.25">
      <c r="A26" s="32">
        <v>23</v>
      </c>
      <c r="B26" s="39"/>
      <c r="C26" s="39"/>
      <c r="D26" s="39"/>
      <c r="E26" s="39"/>
      <c r="F26" s="39"/>
      <c r="G26" s="39"/>
      <c r="H26" s="39"/>
      <c r="I26" s="40"/>
      <c r="J26" s="71"/>
      <c r="K26" s="23"/>
      <c r="L26" s="23"/>
      <c r="M26" s="23"/>
      <c r="N26" s="23"/>
      <c r="O26" s="23"/>
      <c r="P26" s="23"/>
      <c r="Q26" s="23"/>
      <c r="R26" s="23"/>
      <c r="S26" s="23"/>
      <c r="T26" s="23"/>
      <c r="U26" s="23"/>
      <c r="V26" s="23"/>
      <c r="W26" s="23"/>
      <c r="X26" s="23"/>
      <c r="Y26" s="23"/>
      <c r="Z26" s="23"/>
      <c r="AA26" s="23"/>
      <c r="AB26" s="23"/>
      <c r="AC26" s="23"/>
      <c r="AD26" s="23"/>
      <c r="AE26" s="23"/>
      <c r="AF26" s="23"/>
      <c r="AG26" s="23"/>
    </row>
    <row r="27" spans="1:33" x14ac:dyDescent="0.25">
      <c r="A27" s="32">
        <v>24</v>
      </c>
      <c r="B27" s="39"/>
      <c r="C27" s="39"/>
      <c r="D27" s="39"/>
      <c r="E27" s="39"/>
      <c r="F27" s="39"/>
      <c r="G27" s="39"/>
      <c r="H27" s="39"/>
      <c r="I27" s="40"/>
      <c r="J27" s="71"/>
      <c r="K27" s="23"/>
      <c r="L27" s="23"/>
      <c r="M27" s="23"/>
      <c r="N27" s="23"/>
      <c r="O27" s="23"/>
      <c r="P27" s="23"/>
      <c r="Q27" s="23"/>
      <c r="R27" s="23"/>
      <c r="S27" s="23"/>
      <c r="T27" s="23"/>
      <c r="U27" s="23"/>
      <c r="V27" s="23"/>
      <c r="W27" s="23"/>
      <c r="X27" s="23"/>
      <c r="Y27" s="23"/>
      <c r="Z27" s="23"/>
      <c r="AA27" s="23"/>
      <c r="AB27" s="23"/>
      <c r="AC27" s="23"/>
      <c r="AD27" s="23"/>
      <c r="AE27" s="23"/>
      <c r="AF27" s="23"/>
      <c r="AG27" s="23"/>
    </row>
    <row r="28" spans="1:33" x14ac:dyDescent="0.25">
      <c r="A28" s="32">
        <v>25</v>
      </c>
      <c r="B28" s="39"/>
      <c r="C28" s="39"/>
      <c r="D28" s="39"/>
      <c r="E28" s="39"/>
      <c r="F28" s="39"/>
      <c r="G28" s="39"/>
      <c r="H28" s="39"/>
      <c r="I28" s="40"/>
      <c r="J28" s="71"/>
      <c r="K28" s="23"/>
      <c r="L28" s="23"/>
      <c r="M28" s="23"/>
      <c r="N28" s="23"/>
      <c r="O28" s="23"/>
      <c r="P28" s="23"/>
      <c r="Q28" s="23"/>
      <c r="R28" s="23"/>
      <c r="S28" s="23"/>
      <c r="T28" s="23"/>
      <c r="U28" s="23"/>
      <c r="V28" s="23"/>
      <c r="W28" s="23"/>
      <c r="X28" s="23"/>
      <c r="Y28" s="23"/>
      <c r="Z28" s="23"/>
      <c r="AA28" s="23"/>
      <c r="AB28" s="23"/>
      <c r="AC28" s="23"/>
      <c r="AD28" s="23"/>
      <c r="AE28" s="23"/>
      <c r="AF28" s="23"/>
      <c r="AG28" s="23"/>
    </row>
    <row r="29" spans="1:33" x14ac:dyDescent="0.25">
      <c r="A29" s="32">
        <v>26</v>
      </c>
      <c r="B29" s="39"/>
      <c r="C29" s="39"/>
      <c r="D29" s="39"/>
      <c r="E29" s="39"/>
      <c r="F29" s="39"/>
      <c r="G29" s="39"/>
      <c r="H29" s="39"/>
      <c r="I29" s="40"/>
      <c r="J29" s="71"/>
      <c r="K29" s="23"/>
      <c r="L29" s="23"/>
      <c r="M29" s="23"/>
      <c r="N29" s="23"/>
      <c r="O29" s="23"/>
      <c r="P29" s="23"/>
      <c r="Q29" s="23"/>
      <c r="R29" s="23"/>
      <c r="S29" s="23"/>
      <c r="T29" s="23"/>
      <c r="U29" s="23"/>
      <c r="V29" s="23"/>
      <c r="W29" s="23"/>
      <c r="X29" s="23"/>
      <c r="Y29" s="23"/>
      <c r="Z29" s="23"/>
      <c r="AA29" s="23"/>
      <c r="AB29" s="23"/>
      <c r="AC29" s="23"/>
      <c r="AD29" s="23"/>
      <c r="AE29" s="23"/>
      <c r="AF29" s="23"/>
      <c r="AG29" s="23"/>
    </row>
    <row r="30" spans="1:33" x14ac:dyDescent="0.25">
      <c r="A30" s="32">
        <v>27</v>
      </c>
      <c r="B30" s="39"/>
      <c r="C30" s="39"/>
      <c r="D30" s="39"/>
      <c r="E30" s="39"/>
      <c r="F30" s="39"/>
      <c r="G30" s="39"/>
      <c r="H30" s="39"/>
      <c r="I30" s="40"/>
      <c r="J30" s="71"/>
      <c r="K30" s="23"/>
      <c r="L30" s="23"/>
      <c r="M30" s="23"/>
      <c r="N30" s="23"/>
      <c r="O30" s="23"/>
      <c r="P30" s="23"/>
      <c r="Q30" s="23"/>
      <c r="R30" s="23"/>
      <c r="S30" s="23"/>
      <c r="T30" s="23"/>
      <c r="U30" s="23"/>
      <c r="V30" s="23"/>
      <c r="W30" s="23"/>
      <c r="X30" s="23"/>
      <c r="Y30" s="23"/>
      <c r="Z30" s="23"/>
      <c r="AA30" s="23"/>
      <c r="AB30" s="23"/>
      <c r="AC30" s="23"/>
      <c r="AD30" s="23"/>
      <c r="AE30" s="23"/>
      <c r="AF30" s="23"/>
      <c r="AG30" s="23"/>
    </row>
  </sheetData>
  <mergeCells count="11">
    <mergeCell ref="P12:U12"/>
    <mergeCell ref="Y12:AD12"/>
    <mergeCell ref="Y14:AD14"/>
    <mergeCell ref="L16:AE16"/>
    <mergeCell ref="L4:AE4"/>
    <mergeCell ref="P6:U6"/>
    <mergeCell ref="Y6:AD6"/>
    <mergeCell ref="P8:U8"/>
    <mergeCell ref="Y8:AD8"/>
    <mergeCell ref="P10:U10"/>
    <mergeCell ref="Y10:AD10"/>
  </mergeCells>
  <pageMargins left="0.7" right="0.7" top="0.75" bottom="0.75" header="0.3" footer="0.3"/>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dimension ref="A1:AG28"/>
  <sheetViews>
    <sheetView showGridLines="0" workbookViewId="0">
      <selection activeCell="Q1" sqref="Q1"/>
    </sheetView>
  </sheetViews>
  <sheetFormatPr defaultRowHeight="15.75" x14ac:dyDescent="0.25"/>
  <cols>
    <col min="1" max="1" width="7.875" bestFit="1" customWidth="1"/>
    <col min="2" max="3" width="10" bestFit="1" customWidth="1"/>
    <col min="4" max="4" width="19" bestFit="1" customWidth="1"/>
    <col min="5" max="5" width="8.375" bestFit="1" customWidth="1"/>
    <col min="6" max="6" width="5.375" bestFit="1" customWidth="1"/>
    <col min="7" max="7" width="5.875" bestFit="1" customWidth="1"/>
    <col min="8" max="8" width="11.875" bestFit="1" customWidth="1"/>
    <col min="9" max="9" width="11.875" customWidth="1"/>
    <col min="10" max="10" width="12.125" bestFit="1" customWidth="1"/>
    <col min="11" max="11" width="3.75" customWidth="1"/>
    <col min="12" max="31" width="3.625" customWidth="1"/>
    <col min="32" max="32" width="3" customWidth="1"/>
  </cols>
  <sheetData>
    <row r="1" spans="1:33" x14ac:dyDescent="0.25">
      <c r="A1" s="16"/>
      <c r="B1" s="16"/>
      <c r="C1" s="16"/>
      <c r="D1" s="16"/>
      <c r="E1" s="16"/>
      <c r="F1" s="16"/>
      <c r="G1" s="16"/>
      <c r="H1" s="16"/>
      <c r="I1" s="16"/>
      <c r="J1" s="16"/>
      <c r="K1" s="16"/>
      <c r="L1" s="16"/>
      <c r="M1" s="16"/>
      <c r="N1" s="16"/>
      <c r="O1" s="16"/>
      <c r="P1" s="16"/>
      <c r="Q1" s="16"/>
      <c r="R1" s="16"/>
      <c r="S1" s="17">
        <f t="shared" ref="S1:AB1" si="0">VLOOKUP(MAX($A$3:$A$147),$A$3:$H$147,2)</f>
        <v>0</v>
      </c>
      <c r="T1" s="17">
        <f t="shared" si="0"/>
        <v>0</v>
      </c>
      <c r="U1" s="17">
        <f t="shared" si="0"/>
        <v>0</v>
      </c>
      <c r="V1" s="17">
        <f t="shared" si="0"/>
        <v>0</v>
      </c>
      <c r="W1" s="17">
        <f t="shared" si="0"/>
        <v>0</v>
      </c>
      <c r="X1" s="17">
        <f t="shared" si="0"/>
        <v>0</v>
      </c>
      <c r="Y1" s="17">
        <f t="shared" si="0"/>
        <v>0</v>
      </c>
      <c r="Z1" s="17">
        <f t="shared" si="0"/>
        <v>0</v>
      </c>
      <c r="AA1" s="17">
        <f t="shared" si="0"/>
        <v>0</v>
      </c>
      <c r="AB1" s="17">
        <f t="shared" si="0"/>
        <v>0</v>
      </c>
      <c r="AC1" s="18"/>
      <c r="AD1" s="18"/>
      <c r="AE1" s="18"/>
      <c r="AF1" s="18"/>
      <c r="AG1" s="18"/>
    </row>
    <row r="2" spans="1:33" ht="16.5" thickBot="1" x14ac:dyDescent="0.3">
      <c r="A2" s="73"/>
      <c r="B2" s="20"/>
      <c r="C2" s="20"/>
      <c r="D2" s="20"/>
      <c r="E2" s="20"/>
      <c r="F2" s="20"/>
      <c r="G2" s="20"/>
      <c r="H2" s="20"/>
      <c r="I2" s="22"/>
      <c r="J2" s="20"/>
      <c r="K2" s="23"/>
      <c r="L2" s="23"/>
      <c r="M2" s="23"/>
      <c r="N2" s="23"/>
      <c r="O2" s="23"/>
      <c r="P2" s="23"/>
      <c r="Q2" s="23"/>
      <c r="R2" s="23"/>
      <c r="S2" s="23"/>
      <c r="T2" s="23"/>
      <c r="U2" s="23"/>
      <c r="V2" s="23"/>
      <c r="W2" s="23"/>
      <c r="X2" s="23"/>
      <c r="Y2" s="23"/>
      <c r="Z2" s="23"/>
      <c r="AA2" s="23"/>
      <c r="AB2" s="23"/>
      <c r="AC2" s="23"/>
      <c r="AD2" s="23"/>
      <c r="AE2" s="23"/>
      <c r="AF2" s="23"/>
      <c r="AG2" s="23"/>
    </row>
    <row r="3" spans="1:33" x14ac:dyDescent="0.25">
      <c r="A3" s="68" t="s">
        <v>38</v>
      </c>
      <c r="B3" s="69" t="s">
        <v>39</v>
      </c>
      <c r="C3" s="69" t="s">
        <v>40</v>
      </c>
      <c r="D3" s="69" t="s">
        <v>41</v>
      </c>
      <c r="E3" s="68" t="s">
        <v>42</v>
      </c>
      <c r="F3" s="68" t="s">
        <v>43</v>
      </c>
      <c r="G3" s="68" t="s">
        <v>44</v>
      </c>
      <c r="H3" s="68" t="s">
        <v>45</v>
      </c>
      <c r="I3" s="68" t="s">
        <v>46</v>
      </c>
      <c r="J3" s="68" t="s">
        <v>47</v>
      </c>
      <c r="K3" s="23"/>
      <c r="L3" s="29"/>
      <c r="M3" s="30"/>
      <c r="N3" s="30"/>
      <c r="O3" s="30"/>
      <c r="P3" s="30"/>
      <c r="Q3" s="30"/>
      <c r="R3" s="30"/>
      <c r="S3" s="30"/>
      <c r="T3" s="30"/>
      <c r="U3" s="30"/>
      <c r="V3" s="30"/>
      <c r="W3" s="30"/>
      <c r="X3" s="30"/>
      <c r="Y3" s="30"/>
      <c r="Z3" s="30"/>
      <c r="AA3" s="30"/>
      <c r="AB3" s="30"/>
      <c r="AC3" s="30"/>
      <c r="AD3" s="30"/>
      <c r="AE3" s="31"/>
      <c r="AF3" s="23"/>
      <c r="AG3" s="23"/>
    </row>
    <row r="4" spans="1:33" x14ac:dyDescent="0.25">
      <c r="A4" s="32">
        <v>1</v>
      </c>
      <c r="B4" s="33" t="s">
        <v>48</v>
      </c>
      <c r="C4" s="34" t="s">
        <v>49</v>
      </c>
      <c r="D4" s="34" t="s">
        <v>50</v>
      </c>
      <c r="E4" s="34" t="s">
        <v>51</v>
      </c>
      <c r="F4" s="35" t="s">
        <v>52</v>
      </c>
      <c r="G4" s="35">
        <v>30062</v>
      </c>
      <c r="H4" s="33" t="s">
        <v>53</v>
      </c>
      <c r="I4" s="37" t="s">
        <v>54</v>
      </c>
      <c r="J4" s="70">
        <v>157665</v>
      </c>
      <c r="K4" s="23"/>
      <c r="L4" s="300" t="s">
        <v>55</v>
      </c>
      <c r="M4" s="301"/>
      <c r="N4" s="301"/>
      <c r="O4" s="301"/>
      <c r="P4" s="301"/>
      <c r="Q4" s="301"/>
      <c r="R4" s="301"/>
      <c r="S4" s="301"/>
      <c r="T4" s="301"/>
      <c r="U4" s="301"/>
      <c r="V4" s="301"/>
      <c r="W4" s="301"/>
      <c r="X4" s="301"/>
      <c r="Y4" s="301"/>
      <c r="Z4" s="301"/>
      <c r="AA4" s="301"/>
      <c r="AB4" s="301"/>
      <c r="AC4" s="301"/>
      <c r="AD4" s="301"/>
      <c r="AE4" s="302"/>
      <c r="AF4" s="23"/>
      <c r="AG4" s="23"/>
    </row>
    <row r="5" spans="1:33" x14ac:dyDescent="0.25">
      <c r="A5" s="32">
        <v>2</v>
      </c>
      <c r="B5" s="39" t="s">
        <v>56</v>
      </c>
      <c r="C5" s="39" t="s">
        <v>57</v>
      </c>
      <c r="D5" s="39" t="s">
        <v>58</v>
      </c>
      <c r="E5" s="39" t="s">
        <v>51</v>
      </c>
      <c r="F5" s="40" t="s">
        <v>52</v>
      </c>
      <c r="G5" s="40">
        <v>30063</v>
      </c>
      <c r="H5" s="42" t="s">
        <v>59</v>
      </c>
      <c r="I5" s="43" t="s">
        <v>60</v>
      </c>
      <c r="J5" s="71">
        <v>156340</v>
      </c>
      <c r="K5" s="23"/>
      <c r="L5" s="45"/>
      <c r="M5" s="46"/>
      <c r="N5" s="46"/>
      <c r="O5" s="46"/>
      <c r="P5" s="46"/>
      <c r="Q5" s="46"/>
      <c r="R5" s="46"/>
      <c r="S5" s="46"/>
      <c r="T5" s="46"/>
      <c r="U5" s="46"/>
      <c r="V5" s="46"/>
      <c r="W5" s="46"/>
      <c r="X5" s="46"/>
      <c r="Y5" s="46"/>
      <c r="Z5" s="46"/>
      <c r="AA5" s="46"/>
      <c r="AB5" s="46"/>
      <c r="AC5" s="46"/>
      <c r="AD5" s="46"/>
      <c r="AE5" s="47"/>
      <c r="AF5" s="23"/>
      <c r="AG5" s="23"/>
    </row>
    <row r="6" spans="1:33" x14ac:dyDescent="0.25">
      <c r="A6" s="32">
        <v>3</v>
      </c>
      <c r="B6" s="39" t="s">
        <v>61</v>
      </c>
      <c r="C6" s="42" t="s">
        <v>62</v>
      </c>
      <c r="D6" s="39" t="s">
        <v>63</v>
      </c>
      <c r="E6" s="39" t="s">
        <v>51</v>
      </c>
      <c r="F6" s="40" t="s">
        <v>52</v>
      </c>
      <c r="G6" s="40">
        <v>30064</v>
      </c>
      <c r="H6" s="42" t="s">
        <v>64</v>
      </c>
      <c r="I6" s="43" t="s">
        <v>65</v>
      </c>
      <c r="J6" s="71">
        <v>81480</v>
      </c>
      <c r="K6" s="23"/>
      <c r="L6" s="45"/>
      <c r="M6" s="48" t="s">
        <v>39</v>
      </c>
      <c r="N6" s="46"/>
      <c r="O6" s="46"/>
      <c r="P6" s="49" t="str">
        <f>VLOOKUP(DCOUNTA($B:$J,1,$B:$B)-1,$A:$J,2,FALSE)</f>
        <v>Collins</v>
      </c>
      <c r="Q6" s="50"/>
      <c r="R6" s="50"/>
      <c r="S6" s="50"/>
      <c r="T6" s="50"/>
      <c r="U6" s="51"/>
      <c r="V6" s="46"/>
      <c r="W6" s="52" t="s">
        <v>42</v>
      </c>
      <c r="X6" s="46"/>
      <c r="Y6" s="49" t="str">
        <f>VLOOKUP(DCOUNTA($B:$J,1,$B:$B)-1,$A:$J,5,FALSE)</f>
        <v>Norcross</v>
      </c>
      <c r="Z6" s="50"/>
      <c r="AA6" s="50"/>
      <c r="AB6" s="50"/>
      <c r="AC6" s="50"/>
      <c r="AD6" s="51"/>
      <c r="AE6" s="47"/>
      <c r="AF6" s="23"/>
      <c r="AG6" s="23"/>
    </row>
    <row r="7" spans="1:33" x14ac:dyDescent="0.25">
      <c r="A7" s="32">
        <v>4</v>
      </c>
      <c r="B7" s="39" t="s">
        <v>66</v>
      </c>
      <c r="C7" s="42" t="s">
        <v>67</v>
      </c>
      <c r="D7" s="39" t="s">
        <v>68</v>
      </c>
      <c r="E7" s="39" t="s">
        <v>51</v>
      </c>
      <c r="F7" s="40" t="s">
        <v>52</v>
      </c>
      <c r="G7" s="40">
        <v>30065</v>
      </c>
      <c r="H7" s="42" t="s">
        <v>69</v>
      </c>
      <c r="I7" s="43" t="s">
        <v>54</v>
      </c>
      <c r="J7" s="71">
        <v>202578</v>
      </c>
      <c r="K7" s="23"/>
      <c r="L7" s="45"/>
      <c r="M7" s="46"/>
      <c r="N7" s="46"/>
      <c r="O7" s="46"/>
      <c r="P7" s="46"/>
      <c r="Q7" s="46"/>
      <c r="R7" s="46"/>
      <c r="S7" s="46"/>
      <c r="T7" s="46"/>
      <c r="U7" s="46"/>
      <c r="V7" s="46"/>
      <c r="W7" s="46"/>
      <c r="X7" s="46"/>
      <c r="Y7" s="46"/>
      <c r="Z7" s="46"/>
      <c r="AA7" s="46"/>
      <c r="AB7" s="46"/>
      <c r="AC7" s="46"/>
      <c r="AD7" s="46"/>
      <c r="AE7" s="47"/>
      <c r="AF7" s="23"/>
      <c r="AG7" s="23"/>
    </row>
    <row r="8" spans="1:33" x14ac:dyDescent="0.25">
      <c r="A8" s="32">
        <v>5</v>
      </c>
      <c r="B8" s="42" t="s">
        <v>70</v>
      </c>
      <c r="C8" s="39" t="s">
        <v>71</v>
      </c>
      <c r="D8" s="39" t="s">
        <v>72</v>
      </c>
      <c r="E8" s="39" t="s">
        <v>51</v>
      </c>
      <c r="F8" s="40" t="s">
        <v>52</v>
      </c>
      <c r="G8" s="40">
        <v>30066</v>
      </c>
      <c r="H8" s="42" t="s">
        <v>73</v>
      </c>
      <c r="I8" s="43" t="s">
        <v>60</v>
      </c>
      <c r="J8" s="71">
        <v>177209</v>
      </c>
      <c r="K8" s="23"/>
      <c r="L8" s="45"/>
      <c r="M8" s="48" t="s">
        <v>40</v>
      </c>
      <c r="N8" s="46"/>
      <c r="O8" s="46"/>
      <c r="P8" s="49" t="str">
        <f>VLOOKUP(DCOUNTA($B:$J,1,$B:$B)-1,$A:$J,3,FALSE)</f>
        <v>Carlton</v>
      </c>
      <c r="Q8" s="50"/>
      <c r="R8" s="50"/>
      <c r="S8" s="50"/>
      <c r="T8" s="50"/>
      <c r="U8" s="51"/>
      <c r="V8" s="46"/>
      <c r="W8" s="52" t="s">
        <v>43</v>
      </c>
      <c r="X8" s="46"/>
      <c r="Y8" s="49" t="str">
        <f>VLOOKUP(DCOUNTA($B:$J,1,$B:$B)-1,$A:$J,6,FALSE)</f>
        <v xml:space="preserve">GA </v>
      </c>
      <c r="Z8" s="50"/>
      <c r="AA8" s="50"/>
      <c r="AB8" s="50"/>
      <c r="AC8" s="50"/>
      <c r="AD8" s="51"/>
      <c r="AE8" s="47"/>
      <c r="AF8" s="23"/>
      <c r="AG8" s="23"/>
    </row>
    <row r="9" spans="1:33" x14ac:dyDescent="0.25">
      <c r="A9" s="32">
        <v>6</v>
      </c>
      <c r="B9" s="39" t="s">
        <v>74</v>
      </c>
      <c r="C9" s="39" t="s">
        <v>75</v>
      </c>
      <c r="D9" s="39" t="s">
        <v>76</v>
      </c>
      <c r="E9" s="39" t="s">
        <v>77</v>
      </c>
      <c r="F9" s="40" t="s">
        <v>52</v>
      </c>
      <c r="G9" s="40">
        <v>30092</v>
      </c>
      <c r="H9" s="42" t="s">
        <v>78</v>
      </c>
      <c r="I9" s="43" t="s">
        <v>65</v>
      </c>
      <c r="J9" s="71">
        <v>212254.23</v>
      </c>
      <c r="K9" s="23"/>
      <c r="L9" s="45"/>
      <c r="M9" s="46"/>
      <c r="N9" s="46"/>
      <c r="O9" s="46"/>
      <c r="P9" s="46"/>
      <c r="Q9" s="46"/>
      <c r="R9" s="46"/>
      <c r="S9" s="46"/>
      <c r="T9" s="46"/>
      <c r="U9" s="46"/>
      <c r="V9" s="46"/>
      <c r="W9" s="46"/>
      <c r="X9" s="46"/>
      <c r="Y9" s="46"/>
      <c r="Z9" s="46"/>
      <c r="AA9" s="46"/>
      <c r="AB9" s="46"/>
      <c r="AC9" s="46"/>
      <c r="AD9" s="46"/>
      <c r="AE9" s="47"/>
      <c r="AF9" s="23"/>
      <c r="AG9" s="23"/>
    </row>
    <row r="10" spans="1:33" x14ac:dyDescent="0.25">
      <c r="A10" s="32">
        <v>7</v>
      </c>
      <c r="B10" s="39" t="s">
        <v>79</v>
      </c>
      <c r="C10" s="39" t="s">
        <v>80</v>
      </c>
      <c r="D10" s="39" t="s">
        <v>50</v>
      </c>
      <c r="E10" s="39" t="s">
        <v>81</v>
      </c>
      <c r="F10" s="40" t="s">
        <v>82</v>
      </c>
      <c r="G10" s="40">
        <v>30092</v>
      </c>
      <c r="H10" s="42" t="s">
        <v>53</v>
      </c>
      <c r="I10" s="43" t="s">
        <v>54</v>
      </c>
      <c r="J10" s="71">
        <v>124533.45</v>
      </c>
      <c r="K10" s="23"/>
      <c r="L10" s="45"/>
      <c r="M10" s="48" t="s">
        <v>41</v>
      </c>
      <c r="N10" s="46"/>
      <c r="O10" s="46"/>
      <c r="P10" s="49" t="str">
        <f>VLOOKUP(DCOUNTA($B:$J,1,$B:$B)-1,$A:$J,4,FALSE)</f>
        <v>100 Peachtree Street</v>
      </c>
      <c r="Q10" s="50"/>
      <c r="R10" s="50"/>
      <c r="S10" s="50"/>
      <c r="T10" s="50"/>
      <c r="U10" s="51"/>
      <c r="V10" s="46"/>
      <c r="W10" s="52" t="s">
        <v>44</v>
      </c>
      <c r="X10" s="46"/>
      <c r="Y10" s="223">
        <f>VLOOKUP(DCOUNTA($B:$J,1,$B:$B)-1,$A:$J,7,FALSE)</f>
        <v>30092</v>
      </c>
      <c r="Z10" s="50"/>
      <c r="AA10" s="50"/>
      <c r="AB10" s="50"/>
      <c r="AC10" s="50"/>
      <c r="AD10" s="51"/>
      <c r="AE10" s="47"/>
      <c r="AF10" s="23"/>
      <c r="AG10" s="23"/>
    </row>
    <row r="11" spans="1:33" x14ac:dyDescent="0.25">
      <c r="A11" s="32">
        <v>8</v>
      </c>
      <c r="B11" s="39"/>
      <c r="C11" s="39"/>
      <c r="D11" s="39"/>
      <c r="E11" s="39"/>
      <c r="F11" s="39"/>
      <c r="G11" s="39"/>
      <c r="H11" s="39"/>
      <c r="I11" s="40"/>
      <c r="J11" s="39"/>
      <c r="K11" s="23"/>
      <c r="L11" s="45"/>
      <c r="M11" s="46"/>
      <c r="N11" s="46"/>
      <c r="O11" s="46"/>
      <c r="P11" s="46"/>
      <c r="Q11" s="46"/>
      <c r="R11" s="46"/>
      <c r="S11" s="46"/>
      <c r="T11" s="46"/>
      <c r="U11" s="46"/>
      <c r="V11" s="46"/>
      <c r="W11" s="46"/>
      <c r="X11" s="46"/>
      <c r="Y11" s="46"/>
      <c r="Z11" s="46"/>
      <c r="AA11" s="46"/>
      <c r="AB11" s="46"/>
      <c r="AC11" s="46"/>
      <c r="AD11" s="46"/>
      <c r="AE11" s="47"/>
      <c r="AF11" s="23"/>
      <c r="AG11" s="23"/>
    </row>
    <row r="12" spans="1:33" x14ac:dyDescent="0.25">
      <c r="A12" s="32">
        <v>9</v>
      </c>
      <c r="B12" s="39"/>
      <c r="C12" s="39"/>
      <c r="D12" s="39"/>
      <c r="E12" s="39"/>
      <c r="F12" s="39"/>
      <c r="G12" s="39"/>
      <c r="H12" s="39"/>
      <c r="I12" s="40"/>
      <c r="J12" s="39"/>
      <c r="K12" s="23"/>
      <c r="L12" s="45"/>
      <c r="M12" s="52" t="s">
        <v>45</v>
      </c>
      <c r="N12" s="46"/>
      <c r="O12" s="46"/>
      <c r="P12" s="49" t="str">
        <f>VLOOKUP(DCOUNTA($B:$J,1,$B:$B)-1,$A:$J,8,FALSE)</f>
        <v>770.842.5902</v>
      </c>
      <c r="Q12" s="50"/>
      <c r="R12" s="50"/>
      <c r="S12" s="50"/>
      <c r="T12" s="50"/>
      <c r="U12" s="51"/>
      <c r="V12" s="46"/>
      <c r="W12" s="60" t="s">
        <v>99</v>
      </c>
      <c r="X12" s="46"/>
      <c r="Y12" s="49" t="str">
        <f>VLOOKUP(DCOUNTA($B:$J,1,$B:$B)-1,$A:$J,9,FALSE)</f>
        <v>Plan A</v>
      </c>
      <c r="Z12" s="50"/>
      <c r="AA12" s="50"/>
      <c r="AB12" s="50"/>
      <c r="AC12" s="50"/>
      <c r="AD12" s="51"/>
      <c r="AE12" s="47"/>
      <c r="AF12" s="23"/>
      <c r="AG12" s="23"/>
    </row>
    <row r="13" spans="1:33" x14ac:dyDescent="0.25">
      <c r="A13" s="32">
        <v>10</v>
      </c>
      <c r="B13" s="39"/>
      <c r="C13" s="39"/>
      <c r="D13" s="39"/>
      <c r="E13" s="39"/>
      <c r="F13" s="39"/>
      <c r="G13" s="39"/>
      <c r="H13" s="39"/>
      <c r="I13" s="40"/>
      <c r="J13" s="39"/>
      <c r="K13" s="23"/>
      <c r="L13" s="45"/>
      <c r="M13" s="46"/>
      <c r="N13" s="46"/>
      <c r="O13" s="46"/>
      <c r="P13" s="46"/>
      <c r="Q13" s="46"/>
      <c r="R13" s="46"/>
      <c r="S13" s="46"/>
      <c r="T13" s="46"/>
      <c r="U13" s="46"/>
      <c r="V13" s="46"/>
      <c r="W13" s="46"/>
      <c r="X13" s="46"/>
      <c r="Y13" s="46"/>
      <c r="Z13" s="46"/>
      <c r="AA13" s="46"/>
      <c r="AB13" s="46"/>
      <c r="AC13" s="46"/>
      <c r="AD13" s="46"/>
      <c r="AE13" s="47"/>
      <c r="AF13" s="23"/>
      <c r="AG13" s="23"/>
    </row>
    <row r="14" spans="1:33" x14ac:dyDescent="0.25">
      <c r="A14" s="32">
        <v>11</v>
      </c>
      <c r="B14" s="39"/>
      <c r="C14" s="39"/>
      <c r="D14" s="39"/>
      <c r="E14" s="39"/>
      <c r="F14" s="39"/>
      <c r="G14" s="39"/>
      <c r="H14" s="39"/>
      <c r="I14" s="40"/>
      <c r="J14" s="39"/>
      <c r="K14" s="23"/>
      <c r="L14" s="45"/>
      <c r="M14" s="52" t="s">
        <v>90</v>
      </c>
      <c r="N14" s="46"/>
      <c r="O14" s="46"/>
      <c r="P14" s="46"/>
      <c r="Q14" s="46"/>
      <c r="R14" s="46"/>
      <c r="S14" s="46"/>
      <c r="T14" s="46"/>
      <c r="U14" s="46"/>
      <c r="V14" s="46"/>
      <c r="W14" s="46"/>
      <c r="X14" s="46"/>
      <c r="Y14" s="49" t="str">
        <f>TEXT(VLOOKUP(DCOUNTA($B:$J,1,$B:$B)-1,$A:$J,10,FALSE),"$#,###.##")</f>
        <v>$124,533.45</v>
      </c>
      <c r="Z14" s="50"/>
      <c r="AA14" s="50"/>
      <c r="AB14" s="50"/>
      <c r="AC14" s="50"/>
      <c r="AD14" s="51"/>
      <c r="AE14" s="47"/>
      <c r="AF14" s="23"/>
      <c r="AG14" s="23"/>
    </row>
    <row r="15" spans="1:33" x14ac:dyDescent="0.25">
      <c r="A15" s="32">
        <v>12</v>
      </c>
      <c r="B15" s="39"/>
      <c r="C15" s="39"/>
      <c r="D15" s="39"/>
      <c r="E15" s="39"/>
      <c r="F15" s="39"/>
      <c r="G15" s="39"/>
      <c r="H15" s="39"/>
      <c r="I15" s="40"/>
      <c r="J15" s="39"/>
      <c r="K15" s="23"/>
      <c r="L15" s="45"/>
      <c r="M15" s="46"/>
      <c r="N15" s="46"/>
      <c r="O15" s="46"/>
      <c r="P15" s="46"/>
      <c r="Q15" s="46"/>
      <c r="R15" s="46"/>
      <c r="S15" s="46"/>
      <c r="T15" s="46"/>
      <c r="U15" s="46"/>
      <c r="V15" s="46"/>
      <c r="W15" s="46"/>
      <c r="X15" s="46"/>
      <c r="Y15" s="46"/>
      <c r="Z15" s="46"/>
      <c r="AA15" s="46"/>
      <c r="AB15" s="46"/>
      <c r="AC15" s="46"/>
      <c r="AD15" s="46"/>
      <c r="AE15" s="47"/>
      <c r="AF15" s="23"/>
      <c r="AG15" s="23"/>
    </row>
    <row r="16" spans="1:33" x14ac:dyDescent="0.25">
      <c r="A16" s="32">
        <v>13</v>
      </c>
      <c r="B16" s="39"/>
      <c r="C16" s="39"/>
      <c r="D16" s="39"/>
      <c r="E16" s="39"/>
      <c r="F16" s="39"/>
      <c r="G16" s="39"/>
      <c r="H16" s="39"/>
      <c r="I16" s="40"/>
      <c r="J16" s="39"/>
      <c r="K16" s="23"/>
      <c r="L16" s="303" t="s">
        <v>91</v>
      </c>
      <c r="M16" s="304"/>
      <c r="N16" s="304"/>
      <c r="O16" s="304"/>
      <c r="P16" s="304"/>
      <c r="Q16" s="304"/>
      <c r="R16" s="304"/>
      <c r="S16" s="304"/>
      <c r="T16" s="304"/>
      <c r="U16" s="304"/>
      <c r="V16" s="304"/>
      <c r="W16" s="304"/>
      <c r="X16" s="304"/>
      <c r="Y16" s="304"/>
      <c r="Z16" s="304"/>
      <c r="AA16" s="304"/>
      <c r="AB16" s="304"/>
      <c r="AC16" s="304"/>
      <c r="AD16" s="304"/>
      <c r="AE16" s="305"/>
      <c r="AF16" s="23"/>
      <c r="AG16" s="23"/>
    </row>
    <row r="17" spans="1:33" ht="16.5" thickBot="1" x14ac:dyDescent="0.3">
      <c r="A17" s="32">
        <v>14</v>
      </c>
      <c r="B17" s="39"/>
      <c r="C17" s="39"/>
      <c r="D17" s="39"/>
      <c r="E17" s="39"/>
      <c r="F17" s="39"/>
      <c r="G17" s="39"/>
      <c r="H17" s="39"/>
      <c r="I17" s="40"/>
      <c r="J17" s="39"/>
      <c r="K17" s="23"/>
      <c r="L17" s="61"/>
      <c r="M17" s="62"/>
      <c r="N17" s="62"/>
      <c r="O17" s="62"/>
      <c r="P17" s="62"/>
      <c r="Q17" s="62"/>
      <c r="R17" s="62"/>
      <c r="S17" s="62"/>
      <c r="T17" s="62"/>
      <c r="U17" s="62"/>
      <c r="V17" s="62"/>
      <c r="W17" s="62"/>
      <c r="X17" s="62"/>
      <c r="Y17" s="62"/>
      <c r="Z17" s="62"/>
      <c r="AA17" s="62"/>
      <c r="AB17" s="62"/>
      <c r="AC17" s="62"/>
      <c r="AD17" s="62"/>
      <c r="AE17" s="63"/>
      <c r="AF17" s="23"/>
      <c r="AG17" s="23"/>
    </row>
    <row r="18" spans="1:33" x14ac:dyDescent="0.25">
      <c r="A18" s="32">
        <v>15</v>
      </c>
      <c r="B18" s="39"/>
      <c r="C18" s="39"/>
      <c r="D18" s="39"/>
      <c r="E18" s="39"/>
      <c r="F18" s="39"/>
      <c r="G18" s="39"/>
      <c r="H18" s="39"/>
      <c r="I18" s="40"/>
      <c r="J18" s="39"/>
      <c r="K18" s="23"/>
      <c r="L18" s="23"/>
      <c r="M18" s="23"/>
      <c r="N18" s="23"/>
      <c r="O18" s="23"/>
      <c r="P18" s="23"/>
      <c r="Q18" s="23"/>
      <c r="R18" s="23"/>
      <c r="S18" s="23"/>
      <c r="T18" s="23"/>
      <c r="U18" s="23"/>
      <c r="V18" s="23"/>
      <c r="W18" s="23"/>
      <c r="X18" s="23"/>
      <c r="Y18" s="23"/>
      <c r="Z18" s="23"/>
      <c r="AA18" s="23"/>
      <c r="AB18" s="23"/>
      <c r="AC18" s="23"/>
      <c r="AD18" s="23"/>
      <c r="AE18" s="23"/>
      <c r="AF18" s="23"/>
      <c r="AG18" s="23"/>
    </row>
    <row r="19" spans="1:33" x14ac:dyDescent="0.25">
      <c r="A19" s="32">
        <v>16</v>
      </c>
      <c r="B19" s="39"/>
      <c r="C19" s="39"/>
      <c r="D19" s="39"/>
      <c r="E19" s="39"/>
      <c r="F19" s="39"/>
      <c r="G19" s="39"/>
      <c r="H19" s="39"/>
      <c r="I19" s="40"/>
      <c r="J19" s="39"/>
      <c r="K19" s="23"/>
      <c r="L19" s="23"/>
      <c r="M19" s="23"/>
      <c r="N19" s="23"/>
      <c r="O19" s="23"/>
      <c r="P19" s="23"/>
      <c r="Q19" s="23"/>
      <c r="R19" s="23"/>
      <c r="S19" s="23"/>
      <c r="T19" s="23"/>
      <c r="U19" s="23"/>
      <c r="V19" s="23"/>
      <c r="W19" s="23"/>
      <c r="X19" s="23"/>
      <c r="Y19" s="23"/>
      <c r="Z19" s="23"/>
      <c r="AA19" s="23"/>
      <c r="AB19" s="23"/>
      <c r="AC19" s="23"/>
      <c r="AD19" s="23"/>
      <c r="AE19" s="23"/>
      <c r="AF19" s="23"/>
      <c r="AG19" s="23"/>
    </row>
    <row r="20" spans="1:33" x14ac:dyDescent="0.25">
      <c r="A20" s="32">
        <v>17</v>
      </c>
      <c r="B20" s="39"/>
      <c r="C20" s="39"/>
      <c r="D20" s="39"/>
      <c r="E20" s="39"/>
      <c r="F20" s="39"/>
      <c r="G20" s="39"/>
      <c r="H20" s="39"/>
      <c r="I20" s="40"/>
      <c r="J20" s="39"/>
      <c r="K20" s="23"/>
      <c r="L20" s="23"/>
      <c r="M20" s="23"/>
      <c r="N20" s="23"/>
      <c r="O20" s="23"/>
      <c r="P20" s="23"/>
      <c r="Q20" s="23"/>
      <c r="R20" s="23"/>
      <c r="S20" s="23"/>
      <c r="T20" s="23"/>
      <c r="U20" s="23"/>
      <c r="V20" s="23"/>
      <c r="W20" s="23"/>
      <c r="X20" s="23"/>
      <c r="Y20" s="23"/>
      <c r="Z20" s="23"/>
      <c r="AA20" s="23"/>
      <c r="AB20" s="23"/>
      <c r="AC20" s="23"/>
      <c r="AD20" s="23"/>
      <c r="AE20" s="23"/>
      <c r="AF20" s="23"/>
      <c r="AG20" s="23"/>
    </row>
    <row r="21" spans="1:33" x14ac:dyDescent="0.25">
      <c r="A21" s="32">
        <v>18</v>
      </c>
      <c r="B21" s="39"/>
      <c r="C21" s="39"/>
      <c r="D21" s="39"/>
      <c r="E21" s="39"/>
      <c r="F21" s="39"/>
      <c r="G21" s="39"/>
      <c r="H21" s="39"/>
      <c r="I21" s="40"/>
      <c r="J21" s="39"/>
      <c r="K21" s="23"/>
      <c r="L21" s="23"/>
      <c r="M21" s="23"/>
      <c r="N21" s="23"/>
      <c r="O21" s="23"/>
      <c r="P21" s="23"/>
      <c r="Q21" s="23"/>
      <c r="R21" s="23"/>
      <c r="S21" s="23"/>
      <c r="T21" s="23"/>
      <c r="U21" s="23"/>
      <c r="V21" s="23"/>
      <c r="W21" s="23"/>
      <c r="X21" s="23"/>
      <c r="Y21" s="23"/>
      <c r="Z21" s="23"/>
      <c r="AA21" s="23"/>
      <c r="AB21" s="23"/>
      <c r="AC21" s="23"/>
      <c r="AD21" s="23"/>
      <c r="AE21" s="23"/>
      <c r="AF21" s="23"/>
      <c r="AG21" s="23"/>
    </row>
    <row r="22" spans="1:33" x14ac:dyDescent="0.25">
      <c r="A22" s="32">
        <v>19</v>
      </c>
      <c r="B22" s="39"/>
      <c r="C22" s="39"/>
      <c r="D22" s="39"/>
      <c r="E22" s="39"/>
      <c r="F22" s="39"/>
      <c r="G22" s="39"/>
      <c r="H22" s="39"/>
      <c r="I22" s="40"/>
      <c r="J22" s="39"/>
      <c r="K22" s="23"/>
      <c r="L22" s="23"/>
      <c r="M22" s="23"/>
      <c r="N22" s="23"/>
      <c r="O22" s="23"/>
      <c r="P22" s="23"/>
      <c r="Q22" s="23"/>
      <c r="R22" s="23"/>
      <c r="S22" s="23"/>
      <c r="T22" s="23"/>
      <c r="U22" s="23"/>
      <c r="V22" s="23"/>
      <c r="W22" s="23"/>
      <c r="X22" s="23"/>
      <c r="Y22" s="23"/>
      <c r="Z22" s="23"/>
      <c r="AA22" s="23"/>
      <c r="AB22" s="23"/>
      <c r="AC22" s="23"/>
      <c r="AD22" s="23"/>
      <c r="AE22" s="23"/>
      <c r="AF22" s="23"/>
      <c r="AG22" s="23"/>
    </row>
    <row r="23" spans="1:33" x14ac:dyDescent="0.25">
      <c r="A23" s="32">
        <v>20</v>
      </c>
      <c r="B23" s="39"/>
      <c r="C23" s="39"/>
      <c r="D23" s="39"/>
      <c r="E23" s="39"/>
      <c r="F23" s="39"/>
      <c r="G23" s="39"/>
      <c r="H23" s="39"/>
      <c r="I23" s="40"/>
      <c r="J23" s="39"/>
      <c r="K23" s="23"/>
      <c r="L23" s="23"/>
      <c r="M23" s="23"/>
      <c r="N23" s="23"/>
      <c r="O23" s="23"/>
      <c r="P23" s="23"/>
      <c r="Q23" s="23"/>
      <c r="R23" s="23"/>
      <c r="S23" s="23"/>
      <c r="T23" s="23"/>
      <c r="U23" s="23"/>
      <c r="V23" s="23"/>
      <c r="W23" s="23"/>
      <c r="X23" s="23"/>
      <c r="Y23" s="23"/>
      <c r="Z23" s="23"/>
      <c r="AA23" s="23"/>
      <c r="AB23" s="23"/>
      <c r="AC23" s="23"/>
      <c r="AD23" s="23"/>
      <c r="AE23" s="23"/>
      <c r="AF23" s="23"/>
      <c r="AG23" s="23"/>
    </row>
    <row r="24" spans="1:33" x14ac:dyDescent="0.25">
      <c r="A24" s="32">
        <v>21</v>
      </c>
      <c r="B24" s="39"/>
      <c r="C24" s="39"/>
      <c r="D24" s="39"/>
      <c r="E24" s="39"/>
      <c r="F24" s="39"/>
      <c r="G24" s="39"/>
      <c r="H24" s="39"/>
      <c r="I24" s="40"/>
      <c r="J24" s="39"/>
      <c r="K24" s="23"/>
      <c r="L24" s="23"/>
      <c r="M24" s="23"/>
      <c r="N24" s="23"/>
      <c r="O24" s="23"/>
      <c r="P24" s="23"/>
      <c r="Q24" s="23"/>
      <c r="R24" s="23"/>
      <c r="S24" s="23"/>
      <c r="T24" s="23"/>
      <c r="U24" s="23"/>
      <c r="V24" s="23"/>
      <c r="W24" s="23"/>
      <c r="X24" s="23"/>
      <c r="Y24" s="23"/>
      <c r="Z24" s="23"/>
      <c r="AA24" s="23"/>
      <c r="AB24" s="23"/>
      <c r="AC24" s="23"/>
      <c r="AD24" s="23"/>
      <c r="AE24" s="23"/>
      <c r="AF24" s="23"/>
      <c r="AG24" s="23"/>
    </row>
    <row r="25" spans="1:33" x14ac:dyDescent="0.25">
      <c r="A25" s="32">
        <v>22</v>
      </c>
      <c r="B25" s="39"/>
      <c r="C25" s="39"/>
      <c r="D25" s="39"/>
      <c r="E25" s="39"/>
      <c r="F25" s="39"/>
      <c r="G25" s="39"/>
      <c r="H25" s="39"/>
      <c r="I25" s="40"/>
      <c r="J25" s="39"/>
      <c r="K25" s="23"/>
      <c r="L25" s="23"/>
      <c r="M25" s="23"/>
      <c r="N25" s="23"/>
      <c r="O25" s="23"/>
      <c r="P25" s="23"/>
      <c r="Q25" s="23"/>
      <c r="R25" s="23"/>
      <c r="S25" s="23"/>
      <c r="T25" s="23"/>
      <c r="U25" s="23"/>
      <c r="V25" s="23"/>
      <c r="W25" s="23"/>
      <c r="X25" s="23"/>
      <c r="Y25" s="23"/>
      <c r="Z25" s="23"/>
      <c r="AA25" s="23"/>
      <c r="AB25" s="23"/>
      <c r="AC25" s="23"/>
      <c r="AD25" s="23"/>
      <c r="AE25" s="23"/>
      <c r="AF25" s="23"/>
      <c r="AG25" s="23"/>
    </row>
    <row r="26" spans="1:33" x14ac:dyDescent="0.25">
      <c r="A26" s="32">
        <v>23</v>
      </c>
      <c r="B26" s="39"/>
      <c r="C26" s="39"/>
      <c r="D26" s="39"/>
      <c r="E26" s="39"/>
      <c r="F26" s="39"/>
      <c r="G26" s="39"/>
      <c r="H26" s="39"/>
      <c r="I26" s="40"/>
      <c r="J26" s="39"/>
      <c r="K26" s="23"/>
      <c r="L26" s="23"/>
      <c r="M26" s="23"/>
      <c r="N26" s="23"/>
      <c r="O26" s="23"/>
      <c r="P26" s="23"/>
      <c r="Q26" s="23"/>
      <c r="R26" s="23"/>
      <c r="S26" s="23"/>
      <c r="T26" s="23"/>
      <c r="U26" s="23"/>
      <c r="V26" s="23"/>
      <c r="W26" s="23"/>
      <c r="X26" s="23"/>
      <c r="Y26" s="23"/>
      <c r="Z26" s="23"/>
      <c r="AA26" s="23"/>
      <c r="AB26" s="23"/>
      <c r="AC26" s="23"/>
      <c r="AD26" s="23"/>
      <c r="AE26" s="23"/>
      <c r="AF26" s="23"/>
      <c r="AG26" s="23"/>
    </row>
    <row r="27" spans="1:33" x14ac:dyDescent="0.25">
      <c r="A27" s="32">
        <v>24</v>
      </c>
      <c r="B27" s="39"/>
      <c r="C27" s="39"/>
      <c r="D27" s="39"/>
      <c r="E27" s="39"/>
      <c r="F27" s="39"/>
      <c r="G27" s="39"/>
      <c r="H27" s="39"/>
      <c r="I27" s="40"/>
      <c r="J27" s="39"/>
      <c r="K27" s="23"/>
      <c r="L27" s="23"/>
      <c r="M27" s="23"/>
      <c r="N27" s="23"/>
      <c r="O27" s="23"/>
      <c r="P27" s="23"/>
      <c r="Q27" s="23"/>
      <c r="R27" s="23"/>
      <c r="S27" s="23"/>
      <c r="T27" s="23"/>
      <c r="U27" s="23"/>
      <c r="V27" s="23"/>
      <c r="W27" s="23"/>
      <c r="X27" s="23"/>
      <c r="Y27" s="23"/>
      <c r="Z27" s="23"/>
      <c r="AA27" s="23"/>
      <c r="AB27" s="23"/>
      <c r="AC27" s="23"/>
      <c r="AD27" s="23"/>
      <c r="AE27" s="23"/>
      <c r="AF27" s="23"/>
      <c r="AG27" s="23"/>
    </row>
    <row r="28" spans="1:33" x14ac:dyDescent="0.25">
      <c r="A28" s="32">
        <v>25</v>
      </c>
      <c r="B28" s="39"/>
      <c r="C28" s="39"/>
      <c r="D28" s="39"/>
      <c r="E28" s="39"/>
      <c r="F28" s="39"/>
      <c r="G28" s="39"/>
      <c r="H28" s="39"/>
      <c r="I28" s="40"/>
      <c r="J28" s="39"/>
      <c r="K28" s="23"/>
      <c r="L28" s="23"/>
      <c r="M28" s="23"/>
      <c r="N28" s="23"/>
      <c r="O28" s="23"/>
      <c r="P28" s="23"/>
      <c r="Q28" s="23"/>
      <c r="R28" s="23"/>
      <c r="S28" s="23"/>
      <c r="T28" s="23"/>
      <c r="U28" s="23"/>
      <c r="V28" s="23"/>
      <c r="W28" s="23"/>
      <c r="X28" s="23"/>
      <c r="Y28" s="23"/>
      <c r="Z28" s="23"/>
      <c r="AA28" s="23"/>
      <c r="AB28" s="23"/>
      <c r="AC28" s="23"/>
      <c r="AD28" s="23"/>
      <c r="AE28" s="23"/>
      <c r="AF28" s="23"/>
      <c r="AG28" s="23"/>
    </row>
  </sheetData>
  <mergeCells count="2">
    <mergeCell ref="L4:AE4"/>
    <mergeCell ref="L16:AE16"/>
  </mergeCells>
  <pageMargins left="0.7" right="0.7" top="0.75" bottom="0.75" header="0.3" footer="0.3"/>
  <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dimension ref="A1:AG31"/>
  <sheetViews>
    <sheetView showGridLines="0" workbookViewId="0">
      <selection activeCell="Q1" sqref="Q1"/>
    </sheetView>
  </sheetViews>
  <sheetFormatPr defaultRowHeight="15.75" x14ac:dyDescent="0.25"/>
  <cols>
    <col min="1" max="1" width="7.875" bestFit="1" customWidth="1"/>
    <col min="2" max="3" width="10" bestFit="1" customWidth="1"/>
    <col min="4" max="4" width="19" bestFit="1" customWidth="1"/>
    <col min="5" max="5" width="8.375" bestFit="1" customWidth="1"/>
    <col min="6" max="6" width="5.375" bestFit="1" customWidth="1"/>
    <col min="7" max="7" width="5.875" bestFit="1" customWidth="1"/>
    <col min="8" max="8" width="11.875" bestFit="1" customWidth="1"/>
    <col min="9" max="9" width="11.875" customWidth="1"/>
    <col min="10" max="10" width="12.125" bestFit="1" customWidth="1"/>
    <col min="11" max="11" width="3.75" customWidth="1"/>
    <col min="12" max="31" width="3.625" customWidth="1"/>
    <col min="32" max="32" width="3" customWidth="1"/>
  </cols>
  <sheetData>
    <row r="1" spans="1:33" x14ac:dyDescent="0.25">
      <c r="A1" s="16"/>
      <c r="B1" s="16"/>
      <c r="C1" s="16"/>
      <c r="D1" s="16"/>
      <c r="E1" s="16"/>
      <c r="F1" s="16"/>
      <c r="G1" s="16"/>
      <c r="H1" s="16"/>
      <c r="I1" s="16"/>
      <c r="J1" s="16"/>
      <c r="K1" s="16"/>
      <c r="L1" s="16"/>
      <c r="M1" s="16"/>
      <c r="N1" s="16"/>
      <c r="O1" s="16"/>
      <c r="P1" s="16"/>
      <c r="Q1" s="16"/>
      <c r="R1" s="16"/>
      <c r="S1" s="17">
        <f t="shared" ref="S1:AB1" si="0">VLOOKUP(MAX($A$3:$A$147),$A$3:$H$147,2)</f>
        <v>0</v>
      </c>
      <c r="T1" s="17">
        <f t="shared" si="0"/>
        <v>0</v>
      </c>
      <c r="U1" s="17">
        <f t="shared" si="0"/>
        <v>0</v>
      </c>
      <c r="V1" s="17">
        <f t="shared" si="0"/>
        <v>0</v>
      </c>
      <c r="W1" s="17">
        <f t="shared" si="0"/>
        <v>0</v>
      </c>
      <c r="X1" s="17">
        <f t="shared" si="0"/>
        <v>0</v>
      </c>
      <c r="Y1" s="17">
        <f t="shared" si="0"/>
        <v>0</v>
      </c>
      <c r="Z1" s="17">
        <f t="shared" si="0"/>
        <v>0</v>
      </c>
      <c r="AA1" s="17">
        <f t="shared" si="0"/>
        <v>0</v>
      </c>
      <c r="AB1" s="17">
        <f t="shared" si="0"/>
        <v>0</v>
      </c>
      <c r="AC1" s="18"/>
      <c r="AD1" s="18"/>
      <c r="AE1" s="18"/>
      <c r="AF1" s="18"/>
      <c r="AG1" s="18"/>
    </row>
    <row r="2" spans="1:33" ht="16.5" thickBot="1" x14ac:dyDescent="0.3">
      <c r="A2" s="73"/>
      <c r="B2" s="20">
        <v>2</v>
      </c>
      <c r="C2" s="20">
        <v>3</v>
      </c>
      <c r="D2" s="20">
        <v>4</v>
      </c>
      <c r="E2" s="20">
        <v>5</v>
      </c>
      <c r="F2" s="20">
        <v>6</v>
      </c>
      <c r="G2" s="20">
        <v>7</v>
      </c>
      <c r="H2" s="20">
        <v>8</v>
      </c>
      <c r="I2" s="22">
        <v>9</v>
      </c>
      <c r="J2" s="20">
        <v>10</v>
      </c>
      <c r="K2" s="23"/>
      <c r="L2" s="23"/>
      <c r="M2" s="23"/>
      <c r="N2" s="23"/>
      <c r="O2" s="23"/>
      <c r="P2" s="23"/>
      <c r="Q2" s="23"/>
      <c r="R2" s="23"/>
      <c r="S2" s="23"/>
      <c r="T2" s="23"/>
      <c r="U2" s="23"/>
      <c r="V2" s="23"/>
      <c r="W2" s="23"/>
      <c r="X2" s="23"/>
      <c r="Y2" s="23"/>
      <c r="Z2" s="23"/>
      <c r="AA2" s="23"/>
      <c r="AB2" s="23"/>
      <c r="AC2" s="23"/>
      <c r="AD2" s="23"/>
      <c r="AE2" s="23"/>
      <c r="AF2" s="23"/>
      <c r="AG2" s="23"/>
    </row>
    <row r="3" spans="1:33" x14ac:dyDescent="0.25">
      <c r="A3" s="68" t="s">
        <v>38</v>
      </c>
      <c r="B3" s="69" t="s">
        <v>39</v>
      </c>
      <c r="C3" s="69" t="s">
        <v>40</v>
      </c>
      <c r="D3" s="69" t="s">
        <v>41</v>
      </c>
      <c r="E3" s="68" t="s">
        <v>42</v>
      </c>
      <c r="F3" s="68" t="s">
        <v>43</v>
      </c>
      <c r="G3" s="68" t="s">
        <v>44</v>
      </c>
      <c r="H3" s="68" t="s">
        <v>45</v>
      </c>
      <c r="I3" s="68" t="s">
        <v>46</v>
      </c>
      <c r="J3" s="68" t="s">
        <v>47</v>
      </c>
      <c r="K3" s="23"/>
      <c r="L3" s="29"/>
      <c r="M3" s="30"/>
      <c r="N3" s="30"/>
      <c r="O3" s="30"/>
      <c r="P3" s="30"/>
      <c r="Q3" s="30"/>
      <c r="R3" s="30"/>
      <c r="S3" s="30"/>
      <c r="T3" s="30"/>
      <c r="U3" s="30"/>
      <c r="V3" s="30"/>
      <c r="W3" s="30"/>
      <c r="X3" s="30"/>
      <c r="Y3" s="30"/>
      <c r="Z3" s="30"/>
      <c r="AA3" s="30"/>
      <c r="AB3" s="30"/>
      <c r="AC3" s="30"/>
      <c r="AD3" s="30"/>
      <c r="AE3" s="31"/>
      <c r="AF3" s="23"/>
      <c r="AG3" s="23"/>
    </row>
    <row r="4" spans="1:33" x14ac:dyDescent="0.25">
      <c r="A4" s="32">
        <v>1</v>
      </c>
      <c r="B4" s="33" t="s">
        <v>48</v>
      </c>
      <c r="C4" s="34" t="s">
        <v>49</v>
      </c>
      <c r="D4" s="34" t="s">
        <v>50</v>
      </c>
      <c r="E4" s="34" t="s">
        <v>51</v>
      </c>
      <c r="F4" s="35" t="s">
        <v>52</v>
      </c>
      <c r="G4" s="35">
        <v>30062</v>
      </c>
      <c r="H4" s="33" t="s">
        <v>53</v>
      </c>
      <c r="I4" s="37" t="s">
        <v>54</v>
      </c>
      <c r="J4" s="70">
        <v>157665</v>
      </c>
      <c r="K4" s="23"/>
      <c r="L4" s="300" t="s">
        <v>55</v>
      </c>
      <c r="M4" s="301"/>
      <c r="N4" s="301"/>
      <c r="O4" s="301"/>
      <c r="P4" s="301"/>
      <c r="Q4" s="301"/>
      <c r="R4" s="301"/>
      <c r="S4" s="301"/>
      <c r="T4" s="301"/>
      <c r="U4" s="301"/>
      <c r="V4" s="301"/>
      <c r="W4" s="301"/>
      <c r="X4" s="301"/>
      <c r="Y4" s="301"/>
      <c r="Z4" s="301"/>
      <c r="AA4" s="301"/>
      <c r="AB4" s="301"/>
      <c r="AC4" s="301"/>
      <c r="AD4" s="301"/>
      <c r="AE4" s="302"/>
      <c r="AF4" s="23"/>
      <c r="AG4" s="23"/>
    </row>
    <row r="5" spans="1:33" x14ac:dyDescent="0.25">
      <c r="A5" s="32">
        <v>2</v>
      </c>
      <c r="B5" s="39" t="s">
        <v>56</v>
      </c>
      <c r="C5" s="39" t="s">
        <v>57</v>
      </c>
      <c r="D5" s="39" t="s">
        <v>58</v>
      </c>
      <c r="E5" s="39" t="s">
        <v>51</v>
      </c>
      <c r="F5" s="40" t="s">
        <v>52</v>
      </c>
      <c r="G5" s="40">
        <v>30063</v>
      </c>
      <c r="H5" s="42" t="s">
        <v>59</v>
      </c>
      <c r="I5" s="43" t="s">
        <v>60</v>
      </c>
      <c r="J5" s="71">
        <v>156340</v>
      </c>
      <c r="K5" s="23"/>
      <c r="L5" s="45"/>
      <c r="M5" s="46"/>
      <c r="N5" s="46"/>
      <c r="O5" s="46"/>
      <c r="P5" s="46"/>
      <c r="Q5" s="46"/>
      <c r="R5" s="46"/>
      <c r="S5" s="46"/>
      <c r="T5" s="46"/>
      <c r="U5" s="46"/>
      <c r="V5" s="46"/>
      <c r="W5" s="46"/>
      <c r="X5" s="46"/>
      <c r="Y5" s="46"/>
      <c r="Z5" s="46"/>
      <c r="AA5" s="46"/>
      <c r="AB5" s="46"/>
      <c r="AC5" s="46"/>
      <c r="AD5" s="46"/>
      <c r="AE5" s="47"/>
      <c r="AF5" s="23"/>
      <c r="AG5" s="23"/>
    </row>
    <row r="6" spans="1:33" x14ac:dyDescent="0.25">
      <c r="A6" s="32">
        <v>3</v>
      </c>
      <c r="B6" s="39" t="s">
        <v>61</v>
      </c>
      <c r="C6" s="42" t="s">
        <v>62</v>
      </c>
      <c r="D6" s="39" t="s">
        <v>63</v>
      </c>
      <c r="E6" s="39" t="s">
        <v>51</v>
      </c>
      <c r="F6" s="40" t="s">
        <v>52</v>
      </c>
      <c r="G6" s="40">
        <v>30064</v>
      </c>
      <c r="H6" s="42" t="s">
        <v>64</v>
      </c>
      <c r="I6" s="43" t="s">
        <v>65</v>
      </c>
      <c r="J6" s="71">
        <v>81480</v>
      </c>
      <c r="K6" s="23"/>
      <c r="L6" s="45"/>
      <c r="M6" s="48" t="s">
        <v>39</v>
      </c>
      <c r="N6" s="46"/>
      <c r="O6" s="46"/>
      <c r="P6" s="49" t="str">
        <f>VLOOKUP($Q$28,$A$4:$J$10,B2,FALSE)</f>
        <v>Collins</v>
      </c>
      <c r="Q6" s="50"/>
      <c r="R6" s="50"/>
      <c r="S6" s="50"/>
      <c r="T6" s="50"/>
      <c r="U6" s="51"/>
      <c r="V6" s="46"/>
      <c r="W6" s="52" t="s">
        <v>42</v>
      </c>
      <c r="X6" s="46"/>
      <c r="Y6" s="49" t="str">
        <f>VLOOKUP($Q$28,$A$4:$J$10,E2,FALSE)</f>
        <v>Norcross</v>
      </c>
      <c r="Z6" s="50"/>
      <c r="AA6" s="50"/>
      <c r="AB6" s="50"/>
      <c r="AC6" s="50"/>
      <c r="AD6" s="51"/>
      <c r="AE6" s="47"/>
      <c r="AF6" s="23"/>
      <c r="AG6" s="23"/>
    </row>
    <row r="7" spans="1:33" x14ac:dyDescent="0.25">
      <c r="A7" s="32">
        <v>4</v>
      </c>
      <c r="B7" s="39" t="s">
        <v>66</v>
      </c>
      <c r="C7" s="42" t="s">
        <v>67</v>
      </c>
      <c r="D7" s="39" t="s">
        <v>68</v>
      </c>
      <c r="E7" s="39" t="s">
        <v>51</v>
      </c>
      <c r="F7" s="40" t="s">
        <v>52</v>
      </c>
      <c r="G7" s="40">
        <v>30065</v>
      </c>
      <c r="H7" s="42" t="s">
        <v>69</v>
      </c>
      <c r="I7" s="43" t="s">
        <v>54</v>
      </c>
      <c r="J7" s="71">
        <v>202578</v>
      </c>
      <c r="K7" s="23"/>
      <c r="L7" s="45"/>
      <c r="M7" s="46"/>
      <c r="N7" s="46"/>
      <c r="O7" s="46"/>
      <c r="P7" s="46"/>
      <c r="Q7" s="46"/>
      <c r="R7" s="46"/>
      <c r="S7" s="46"/>
      <c r="T7" s="46"/>
      <c r="U7" s="46"/>
      <c r="V7" s="46"/>
      <c r="W7" s="46"/>
      <c r="X7" s="46"/>
      <c r="Y7" s="46"/>
      <c r="Z7" s="46"/>
      <c r="AA7" s="46"/>
      <c r="AB7" s="46"/>
      <c r="AC7" s="46"/>
      <c r="AD7" s="46"/>
      <c r="AE7" s="47"/>
      <c r="AF7" s="23"/>
      <c r="AG7" s="23"/>
    </row>
    <row r="8" spans="1:33" x14ac:dyDescent="0.25">
      <c r="A8" s="32">
        <v>5</v>
      </c>
      <c r="B8" s="42" t="s">
        <v>70</v>
      </c>
      <c r="C8" s="39" t="s">
        <v>71</v>
      </c>
      <c r="D8" s="39" t="s">
        <v>72</v>
      </c>
      <c r="E8" s="39" t="s">
        <v>51</v>
      </c>
      <c r="F8" s="40" t="s">
        <v>52</v>
      </c>
      <c r="G8" s="40">
        <v>30066</v>
      </c>
      <c r="H8" s="42" t="s">
        <v>73</v>
      </c>
      <c r="I8" s="43" t="s">
        <v>60</v>
      </c>
      <c r="J8" s="71">
        <v>177209</v>
      </c>
      <c r="K8" s="23"/>
      <c r="L8" s="45"/>
      <c r="M8" s="48" t="s">
        <v>40</v>
      </c>
      <c r="N8" s="46"/>
      <c r="O8" s="46"/>
      <c r="P8" s="49" t="str">
        <f>VLOOKUP($Q$28,$A$4:$J$10,C2,FALSE)</f>
        <v>Carlton</v>
      </c>
      <c r="Q8" s="50"/>
      <c r="R8" s="50"/>
      <c r="S8" s="50"/>
      <c r="T8" s="50"/>
      <c r="U8" s="51"/>
      <c r="V8" s="46"/>
      <c r="W8" s="52" t="s">
        <v>43</v>
      </c>
      <c r="X8" s="46"/>
      <c r="Y8" s="49" t="str">
        <f>VLOOKUP($Q$28,$A$4:$J$10,F2,FALSE)</f>
        <v xml:space="preserve">GA </v>
      </c>
      <c r="Z8" s="50"/>
      <c r="AA8" s="50"/>
      <c r="AB8" s="50"/>
      <c r="AC8" s="50"/>
      <c r="AD8" s="51"/>
      <c r="AE8" s="47"/>
      <c r="AF8" s="23"/>
      <c r="AG8" s="23"/>
    </row>
    <row r="9" spans="1:33" x14ac:dyDescent="0.25">
      <c r="A9" s="32">
        <v>6</v>
      </c>
      <c r="B9" s="39" t="s">
        <v>74</v>
      </c>
      <c r="C9" s="39" t="s">
        <v>75</v>
      </c>
      <c r="D9" s="39" t="s">
        <v>76</v>
      </c>
      <c r="E9" s="39" t="s">
        <v>77</v>
      </c>
      <c r="F9" s="40" t="s">
        <v>52</v>
      </c>
      <c r="G9" s="40">
        <v>30092</v>
      </c>
      <c r="H9" s="42" t="s">
        <v>78</v>
      </c>
      <c r="I9" s="43" t="s">
        <v>65</v>
      </c>
      <c r="J9" s="71">
        <v>212254.23</v>
      </c>
      <c r="K9" s="23"/>
      <c r="L9" s="45"/>
      <c r="M9" s="46"/>
      <c r="N9" s="46"/>
      <c r="O9" s="46"/>
      <c r="P9" s="46"/>
      <c r="Q9" s="46"/>
      <c r="R9" s="46"/>
      <c r="S9" s="46"/>
      <c r="T9" s="46"/>
      <c r="U9" s="46"/>
      <c r="V9" s="46"/>
      <c r="W9" s="46"/>
      <c r="X9" s="46"/>
      <c r="Y9" s="46"/>
      <c r="Z9" s="46"/>
      <c r="AA9" s="46"/>
      <c r="AB9" s="46"/>
      <c r="AC9" s="46"/>
      <c r="AD9" s="46"/>
      <c r="AE9" s="47"/>
      <c r="AF9" s="23"/>
      <c r="AG9" s="23"/>
    </row>
    <row r="10" spans="1:33" x14ac:dyDescent="0.25">
      <c r="A10" s="32">
        <v>7</v>
      </c>
      <c r="B10" s="39" t="s">
        <v>79</v>
      </c>
      <c r="C10" s="39" t="s">
        <v>80</v>
      </c>
      <c r="D10" s="39" t="s">
        <v>50</v>
      </c>
      <c r="E10" s="39" t="s">
        <v>81</v>
      </c>
      <c r="F10" s="40" t="s">
        <v>82</v>
      </c>
      <c r="G10" s="40">
        <v>30092</v>
      </c>
      <c r="H10" s="42" t="s">
        <v>53</v>
      </c>
      <c r="I10" s="43" t="s">
        <v>54</v>
      </c>
      <c r="J10" s="71">
        <v>124533.45</v>
      </c>
      <c r="K10" s="23"/>
      <c r="L10" s="45"/>
      <c r="M10" s="48" t="s">
        <v>41</v>
      </c>
      <c r="N10" s="46"/>
      <c r="O10" s="46"/>
      <c r="P10" s="49" t="str">
        <f>VLOOKUP($Q$28,$A$4:$J$10,D2,FALSE)</f>
        <v>100 Peachtree Street</v>
      </c>
      <c r="Q10" s="50"/>
      <c r="R10" s="50"/>
      <c r="S10" s="50"/>
      <c r="T10" s="50"/>
      <c r="U10" s="51"/>
      <c r="V10" s="46"/>
      <c r="W10" s="52" t="s">
        <v>44</v>
      </c>
      <c r="X10" s="46"/>
      <c r="Y10" s="77">
        <f>VLOOKUP($Q$28,$A$4:$J$10,G2,FALSE)</f>
        <v>30092</v>
      </c>
      <c r="Z10" s="50"/>
      <c r="AA10" s="50"/>
      <c r="AB10" s="50"/>
      <c r="AC10" s="50"/>
      <c r="AD10" s="51"/>
      <c r="AE10" s="47"/>
      <c r="AF10" s="23"/>
      <c r="AG10" s="23"/>
    </row>
    <row r="11" spans="1:33" x14ac:dyDescent="0.25">
      <c r="A11" s="32">
        <v>8</v>
      </c>
      <c r="B11" s="39"/>
      <c r="C11" s="39"/>
      <c r="D11" s="39"/>
      <c r="E11" s="39"/>
      <c r="F11" s="39"/>
      <c r="G11" s="39"/>
      <c r="H11" s="39"/>
      <c r="I11" s="40"/>
      <c r="J11" s="39"/>
      <c r="K11" s="23"/>
      <c r="L11" s="45"/>
      <c r="M11" s="46"/>
      <c r="N11" s="46"/>
      <c r="O11" s="46"/>
      <c r="P11" s="46"/>
      <c r="Q11" s="46"/>
      <c r="R11" s="46"/>
      <c r="S11" s="46"/>
      <c r="T11" s="46"/>
      <c r="U11" s="46"/>
      <c r="V11" s="46"/>
      <c r="W11" s="46"/>
      <c r="X11" s="46"/>
      <c r="Y11" s="46"/>
      <c r="Z11" s="46"/>
      <c r="AA11" s="46"/>
      <c r="AB11" s="46"/>
      <c r="AC11" s="46"/>
      <c r="AD11" s="46"/>
      <c r="AE11" s="47"/>
      <c r="AF11" s="23"/>
      <c r="AG11" s="23"/>
    </row>
    <row r="12" spans="1:33" x14ac:dyDescent="0.25">
      <c r="A12" s="32">
        <v>9</v>
      </c>
      <c r="B12" s="39"/>
      <c r="C12" s="39"/>
      <c r="D12" s="39"/>
      <c r="E12" s="39"/>
      <c r="F12" s="39"/>
      <c r="G12" s="39"/>
      <c r="H12" s="39"/>
      <c r="I12" s="40"/>
      <c r="J12" s="39"/>
      <c r="K12" s="23"/>
      <c r="L12" s="45"/>
      <c r="M12" s="52" t="s">
        <v>45</v>
      </c>
      <c r="N12" s="46"/>
      <c r="O12" s="46"/>
      <c r="P12" s="49" t="str">
        <f>VLOOKUP($Q$28,$A$4:$J$10,H2,FALSE)</f>
        <v>770.842.5902</v>
      </c>
      <c r="Q12" s="50"/>
      <c r="R12" s="50"/>
      <c r="S12" s="50"/>
      <c r="T12" s="50"/>
      <c r="U12" s="51"/>
      <c r="V12" s="46"/>
      <c r="W12" s="60" t="s">
        <v>99</v>
      </c>
      <c r="X12" s="46"/>
      <c r="Y12" s="49" t="str">
        <f>VLOOKUP($Q$28,$A$4:$J$10,I2,FALSE)</f>
        <v>Plan A</v>
      </c>
      <c r="Z12" s="50"/>
      <c r="AA12" s="50"/>
      <c r="AB12" s="50"/>
      <c r="AC12" s="50"/>
      <c r="AD12" s="51"/>
      <c r="AE12" s="47"/>
      <c r="AF12" s="23"/>
      <c r="AG12" s="23"/>
    </row>
    <row r="13" spans="1:33" x14ac:dyDescent="0.25">
      <c r="A13" s="32">
        <v>10</v>
      </c>
      <c r="B13" s="39"/>
      <c r="C13" s="39"/>
      <c r="D13" s="39"/>
      <c r="E13" s="39"/>
      <c r="F13" s="39"/>
      <c r="G13" s="39"/>
      <c r="H13" s="39"/>
      <c r="I13" s="40"/>
      <c r="J13" s="39"/>
      <c r="K13" s="23"/>
      <c r="L13" s="45"/>
      <c r="M13" s="46"/>
      <c r="N13" s="46"/>
      <c r="O13" s="46"/>
      <c r="P13" s="46"/>
      <c r="Q13" s="46"/>
      <c r="R13" s="46"/>
      <c r="S13" s="46"/>
      <c r="T13" s="46"/>
      <c r="U13" s="46"/>
      <c r="V13" s="46"/>
      <c r="W13" s="46"/>
      <c r="X13" s="46"/>
      <c r="Y13" s="46"/>
      <c r="Z13" s="46"/>
      <c r="AA13" s="46"/>
      <c r="AB13" s="46"/>
      <c r="AC13" s="46"/>
      <c r="AD13" s="46"/>
      <c r="AE13" s="47"/>
      <c r="AF13" s="23"/>
      <c r="AG13" s="23"/>
    </row>
    <row r="14" spans="1:33" x14ac:dyDescent="0.25">
      <c r="A14" s="32">
        <v>11</v>
      </c>
      <c r="B14" s="39"/>
      <c r="C14" s="39"/>
      <c r="D14" s="39"/>
      <c r="E14" s="39"/>
      <c r="F14" s="39"/>
      <c r="G14" s="39"/>
      <c r="H14" s="39"/>
      <c r="I14" s="40"/>
      <c r="J14" s="39"/>
      <c r="K14" s="23"/>
      <c r="L14" s="45"/>
      <c r="M14" s="52" t="s">
        <v>90</v>
      </c>
      <c r="N14" s="46"/>
      <c r="O14" s="46"/>
      <c r="P14" s="46"/>
      <c r="Q14" s="46"/>
      <c r="R14" s="46"/>
      <c r="S14" s="46"/>
      <c r="T14" s="46"/>
      <c r="U14" s="46"/>
      <c r="V14" s="46"/>
      <c r="W14" s="46"/>
      <c r="X14" s="46"/>
      <c r="Y14" s="49">
        <f>VLOOKUP($Q$28,$A$4:$J$10,J2,FALSE)</f>
        <v>124533.45</v>
      </c>
      <c r="Z14" s="50"/>
      <c r="AA14" s="50"/>
      <c r="AB14" s="50"/>
      <c r="AC14" s="50"/>
      <c r="AD14" s="51"/>
      <c r="AE14" s="47"/>
      <c r="AF14" s="23"/>
      <c r="AG14" s="23"/>
    </row>
    <row r="15" spans="1:33" x14ac:dyDescent="0.25">
      <c r="A15" s="32">
        <v>12</v>
      </c>
      <c r="B15" s="39"/>
      <c r="C15" s="39"/>
      <c r="D15" s="39"/>
      <c r="E15" s="39"/>
      <c r="F15" s="39"/>
      <c r="G15" s="39"/>
      <c r="H15" s="39"/>
      <c r="I15" s="40"/>
      <c r="J15" s="39"/>
      <c r="K15" s="23"/>
      <c r="L15" s="45"/>
      <c r="M15" s="46"/>
      <c r="N15" s="46"/>
      <c r="O15" s="46"/>
      <c r="P15" s="46"/>
      <c r="Q15" s="46"/>
      <c r="R15" s="46"/>
      <c r="S15" s="46"/>
      <c r="T15" s="46"/>
      <c r="U15" s="46"/>
      <c r="V15" s="46"/>
      <c r="W15" s="46"/>
      <c r="X15" s="46"/>
      <c r="Y15" s="46"/>
      <c r="Z15" s="46"/>
      <c r="AA15" s="46"/>
      <c r="AB15" s="46"/>
      <c r="AC15" s="46"/>
      <c r="AD15" s="46"/>
      <c r="AE15" s="47"/>
      <c r="AF15" s="23"/>
      <c r="AG15" s="23"/>
    </row>
    <row r="16" spans="1:33" x14ac:dyDescent="0.25">
      <c r="A16" s="32">
        <v>13</v>
      </c>
      <c r="B16" s="39"/>
      <c r="C16" s="39"/>
      <c r="D16" s="39"/>
      <c r="E16" s="39"/>
      <c r="F16" s="39"/>
      <c r="G16" s="39"/>
      <c r="H16" s="39"/>
      <c r="I16" s="40"/>
      <c r="J16" s="39"/>
      <c r="K16" s="23"/>
      <c r="L16" s="303" t="s">
        <v>91</v>
      </c>
      <c r="M16" s="304"/>
      <c r="N16" s="304"/>
      <c r="O16" s="304"/>
      <c r="P16" s="304"/>
      <c r="Q16" s="304"/>
      <c r="R16" s="304"/>
      <c r="S16" s="304"/>
      <c r="T16" s="304"/>
      <c r="U16" s="304"/>
      <c r="V16" s="304"/>
      <c r="W16" s="304"/>
      <c r="X16" s="304"/>
      <c r="Y16" s="304"/>
      <c r="Z16" s="304"/>
      <c r="AA16" s="304"/>
      <c r="AB16" s="304"/>
      <c r="AC16" s="304"/>
      <c r="AD16" s="304"/>
      <c r="AE16" s="305"/>
      <c r="AF16" s="23"/>
      <c r="AG16" s="23"/>
    </row>
    <row r="17" spans="1:33" ht="16.5" thickBot="1" x14ac:dyDescent="0.3">
      <c r="A17" s="32">
        <v>14</v>
      </c>
      <c r="B17" s="39"/>
      <c r="C17" s="39"/>
      <c r="D17" s="39"/>
      <c r="E17" s="39"/>
      <c r="F17" s="39"/>
      <c r="G17" s="39"/>
      <c r="H17" s="39"/>
      <c r="I17" s="40"/>
      <c r="J17" s="39"/>
      <c r="K17" s="23"/>
      <c r="L17" s="61"/>
      <c r="M17" s="62"/>
      <c r="N17" s="62"/>
      <c r="O17" s="62"/>
      <c r="P17" s="62"/>
      <c r="Q17" s="62"/>
      <c r="R17" s="62"/>
      <c r="S17" s="62"/>
      <c r="T17" s="62"/>
      <c r="U17" s="62"/>
      <c r="V17" s="62"/>
      <c r="W17" s="62"/>
      <c r="X17" s="62"/>
      <c r="Y17" s="62"/>
      <c r="Z17" s="62"/>
      <c r="AA17" s="62"/>
      <c r="AB17" s="62"/>
      <c r="AC17" s="62"/>
      <c r="AD17" s="62"/>
      <c r="AE17" s="63"/>
      <c r="AF17" s="23"/>
      <c r="AG17" s="23"/>
    </row>
    <row r="18" spans="1:33" x14ac:dyDescent="0.25">
      <c r="A18" s="32">
        <v>15</v>
      </c>
      <c r="B18" s="39"/>
      <c r="C18" s="39"/>
      <c r="D18" s="39"/>
      <c r="E18" s="39"/>
      <c r="F18" s="39"/>
      <c r="G18" s="39"/>
      <c r="H18" s="39"/>
      <c r="I18" s="40"/>
      <c r="J18" s="39"/>
      <c r="K18" s="23"/>
      <c r="L18" s="23"/>
      <c r="M18" s="23"/>
      <c r="N18" s="23"/>
      <c r="O18" s="23"/>
      <c r="P18" s="23"/>
      <c r="Q18" s="23"/>
      <c r="R18" s="23"/>
      <c r="S18" s="23"/>
      <c r="T18" s="23"/>
      <c r="U18" s="23"/>
      <c r="V18" s="23"/>
      <c r="W18" s="23"/>
      <c r="X18" s="23"/>
      <c r="Y18" s="23"/>
      <c r="Z18" s="23"/>
      <c r="AA18" s="23"/>
      <c r="AB18" s="23"/>
      <c r="AC18" s="23"/>
      <c r="AD18" s="23"/>
      <c r="AE18" s="23"/>
      <c r="AF18" s="23"/>
      <c r="AG18" s="23"/>
    </row>
    <row r="19" spans="1:33" x14ac:dyDescent="0.25">
      <c r="A19" s="32">
        <v>16</v>
      </c>
      <c r="B19" s="39"/>
      <c r="C19" s="39"/>
      <c r="D19" s="39"/>
      <c r="E19" s="39"/>
      <c r="F19" s="39"/>
      <c r="G19" s="39"/>
      <c r="H19" s="39"/>
      <c r="I19" s="40"/>
      <c r="J19" s="39"/>
      <c r="K19" s="23"/>
      <c r="L19" s="23"/>
      <c r="M19" s="23"/>
      <c r="N19" s="23"/>
      <c r="O19" s="23"/>
      <c r="P19" s="23"/>
      <c r="Q19" s="23"/>
      <c r="R19" s="23"/>
      <c r="S19" s="23"/>
      <c r="T19" s="23"/>
      <c r="U19" s="23"/>
      <c r="V19" s="23"/>
      <c r="W19" s="23"/>
      <c r="X19" s="23"/>
      <c r="Y19" s="23"/>
      <c r="Z19" s="23"/>
      <c r="AA19" s="23"/>
      <c r="AB19" s="23"/>
      <c r="AC19" s="23"/>
      <c r="AD19" s="23"/>
      <c r="AE19" s="23"/>
      <c r="AF19" s="23"/>
      <c r="AG19" s="23"/>
    </row>
    <row r="20" spans="1:33" x14ac:dyDescent="0.25">
      <c r="A20" s="32">
        <v>17</v>
      </c>
      <c r="B20" s="39"/>
      <c r="C20" s="39"/>
      <c r="D20" s="39"/>
      <c r="E20" s="39"/>
      <c r="F20" s="39"/>
      <c r="G20" s="39"/>
      <c r="H20" s="39"/>
      <c r="I20" s="40"/>
      <c r="J20" s="39"/>
      <c r="K20" s="23"/>
      <c r="L20" s="23"/>
      <c r="M20" s="23"/>
      <c r="N20" s="23"/>
      <c r="O20" s="23"/>
      <c r="P20" s="23"/>
      <c r="Q20" s="23"/>
      <c r="R20" s="23"/>
      <c r="S20" s="23"/>
      <c r="T20" s="23"/>
      <c r="U20" s="23"/>
      <c r="V20" s="23"/>
      <c r="W20" s="23"/>
      <c r="X20" s="23"/>
      <c r="Y20" s="23"/>
      <c r="Z20" s="23"/>
      <c r="AA20" s="23"/>
      <c r="AB20" s="23"/>
      <c r="AC20" s="23"/>
      <c r="AD20" s="23"/>
      <c r="AE20" s="23"/>
      <c r="AF20" s="23"/>
      <c r="AG20" s="23"/>
    </row>
    <row r="21" spans="1:33" x14ac:dyDescent="0.25">
      <c r="A21" s="32">
        <v>18</v>
      </c>
      <c r="B21" s="39"/>
      <c r="C21" s="39"/>
      <c r="D21" s="39"/>
      <c r="E21" s="39"/>
      <c r="F21" s="39"/>
      <c r="G21" s="39"/>
      <c r="H21" s="39"/>
      <c r="I21" s="40"/>
      <c r="J21" s="39"/>
      <c r="K21" s="23"/>
      <c r="L21" s="23"/>
      <c r="M21" s="23"/>
      <c r="N21" s="23"/>
      <c r="O21" s="23"/>
      <c r="P21" s="23"/>
      <c r="Q21" s="23"/>
      <c r="R21" s="23"/>
      <c r="S21" s="23"/>
      <c r="T21" s="23"/>
      <c r="U21" s="23"/>
      <c r="V21" s="23"/>
      <c r="W21" s="23"/>
      <c r="X21" s="23"/>
      <c r="Y21" s="23"/>
      <c r="Z21" s="23"/>
      <c r="AA21" s="23"/>
      <c r="AB21" s="23"/>
      <c r="AC21" s="23"/>
      <c r="AD21" s="23"/>
      <c r="AE21" s="23"/>
      <c r="AF21" s="23"/>
      <c r="AG21" s="23"/>
    </row>
    <row r="22" spans="1:33" x14ac:dyDescent="0.25">
      <c r="A22" s="32">
        <v>19</v>
      </c>
      <c r="B22" s="39"/>
      <c r="C22" s="39"/>
      <c r="D22" s="39"/>
      <c r="E22" s="39"/>
      <c r="F22" s="39"/>
      <c r="G22" s="39"/>
      <c r="H22" s="39"/>
      <c r="I22" s="40"/>
      <c r="J22" s="39"/>
      <c r="K22" s="23"/>
      <c r="L22" s="23"/>
      <c r="M22" s="23"/>
      <c r="N22" s="23"/>
      <c r="O22" s="23"/>
      <c r="P22" s="23"/>
      <c r="Q22" s="23"/>
      <c r="R22" s="23"/>
      <c r="S22" s="23"/>
      <c r="T22" s="23"/>
      <c r="U22" s="23"/>
      <c r="V22" s="23"/>
      <c r="W22" s="23"/>
      <c r="X22" s="23"/>
      <c r="Y22" s="23"/>
      <c r="Z22" s="23"/>
      <c r="AA22" s="23"/>
      <c r="AB22" s="23"/>
      <c r="AC22" s="23"/>
      <c r="AD22" s="23"/>
      <c r="AE22" s="23"/>
      <c r="AF22" s="23"/>
      <c r="AG22" s="23"/>
    </row>
    <row r="23" spans="1:33" x14ac:dyDescent="0.25">
      <c r="A23" s="32">
        <v>20</v>
      </c>
      <c r="B23" s="39"/>
      <c r="C23" s="39"/>
      <c r="D23" s="39"/>
      <c r="E23" s="39"/>
      <c r="F23" s="39"/>
      <c r="G23" s="39"/>
      <c r="H23" s="39"/>
      <c r="I23" s="40"/>
      <c r="J23" s="39"/>
      <c r="K23" s="23"/>
      <c r="L23" s="23"/>
      <c r="M23" s="23"/>
      <c r="N23" s="23"/>
      <c r="O23" s="23"/>
      <c r="P23" s="23"/>
      <c r="Q23" s="23"/>
      <c r="R23" s="23"/>
      <c r="S23" s="23"/>
      <c r="T23" s="23"/>
      <c r="U23" s="23"/>
      <c r="V23" s="23"/>
      <c r="W23" s="23"/>
      <c r="X23" s="23"/>
      <c r="Y23" s="23"/>
      <c r="Z23" s="23"/>
      <c r="AA23" s="23"/>
      <c r="AB23" s="23"/>
      <c r="AC23" s="23"/>
      <c r="AD23" s="23"/>
      <c r="AE23" s="23"/>
      <c r="AF23" s="23"/>
      <c r="AG23" s="23"/>
    </row>
    <row r="24" spans="1:33" x14ac:dyDescent="0.25">
      <c r="A24" s="32">
        <v>21</v>
      </c>
      <c r="B24" s="39"/>
      <c r="C24" s="39"/>
      <c r="D24" s="39"/>
      <c r="E24" s="39"/>
      <c r="F24" s="39"/>
      <c r="G24" s="39"/>
      <c r="H24" s="39"/>
      <c r="I24" s="40"/>
      <c r="J24" s="39"/>
      <c r="K24" s="23"/>
      <c r="L24" s="23"/>
      <c r="M24" s="23"/>
      <c r="N24" s="23"/>
      <c r="O24" s="23"/>
      <c r="P24" s="23"/>
      <c r="Q24" s="23"/>
      <c r="R24" s="23"/>
      <c r="S24" s="23"/>
      <c r="T24" s="23"/>
      <c r="U24" s="23"/>
      <c r="V24" s="23"/>
      <c r="W24" s="23"/>
      <c r="X24" s="23"/>
      <c r="Y24" s="23"/>
      <c r="Z24" s="23"/>
      <c r="AA24" s="23"/>
      <c r="AB24" s="23"/>
      <c r="AC24" s="23"/>
      <c r="AD24" s="23"/>
      <c r="AE24" s="23"/>
      <c r="AF24" s="23"/>
      <c r="AG24" s="23"/>
    </row>
    <row r="25" spans="1:33" x14ac:dyDescent="0.25">
      <c r="A25" s="32">
        <v>22</v>
      </c>
      <c r="B25" s="39"/>
      <c r="C25" s="39"/>
      <c r="D25" s="39"/>
      <c r="E25" s="39"/>
      <c r="F25" s="39"/>
      <c r="G25" s="39"/>
      <c r="H25" s="39"/>
      <c r="I25" s="40"/>
      <c r="J25" s="39"/>
      <c r="K25" s="23"/>
      <c r="L25" s="23"/>
      <c r="M25" s="23"/>
      <c r="N25" s="23"/>
      <c r="O25" s="23"/>
      <c r="P25" s="23"/>
      <c r="Q25" s="23"/>
      <c r="R25" s="23"/>
      <c r="S25" s="23"/>
      <c r="T25" s="23"/>
      <c r="U25" s="23"/>
      <c r="V25" s="23"/>
      <c r="W25" s="23"/>
      <c r="X25" s="23"/>
      <c r="Y25" s="23"/>
      <c r="Z25" s="23"/>
      <c r="AA25" s="23"/>
      <c r="AB25" s="23"/>
      <c r="AC25" s="23"/>
      <c r="AD25" s="23"/>
      <c r="AE25" s="23"/>
      <c r="AF25" s="23"/>
      <c r="AG25" s="23"/>
    </row>
    <row r="26" spans="1:33" x14ac:dyDescent="0.25">
      <c r="A26" s="32">
        <v>23</v>
      </c>
      <c r="B26" s="39"/>
      <c r="C26" s="39"/>
      <c r="D26" s="39"/>
      <c r="E26" s="39"/>
      <c r="F26" s="39"/>
      <c r="G26" s="39"/>
      <c r="H26" s="39"/>
      <c r="I26" s="40"/>
      <c r="J26" s="39"/>
      <c r="K26" s="23"/>
      <c r="L26" s="23"/>
      <c r="M26" s="23"/>
      <c r="N26" s="23"/>
      <c r="O26" s="23"/>
      <c r="P26" s="23"/>
      <c r="Q26" s="23"/>
      <c r="R26" s="23"/>
      <c r="S26" s="23"/>
      <c r="T26" s="23"/>
      <c r="U26" s="23"/>
      <c r="V26" s="23"/>
      <c r="W26" s="23"/>
      <c r="X26" s="23"/>
      <c r="Y26" s="23"/>
      <c r="Z26" s="23"/>
      <c r="AA26" s="23"/>
      <c r="AB26" s="23"/>
      <c r="AC26" s="23"/>
      <c r="AD26" s="23"/>
      <c r="AE26" s="23"/>
      <c r="AF26" s="23"/>
      <c r="AG26" s="23"/>
    </row>
    <row r="27" spans="1:33" x14ac:dyDescent="0.25">
      <c r="A27" s="32">
        <v>24</v>
      </c>
      <c r="B27" s="39"/>
      <c r="C27" s="39"/>
      <c r="D27" s="39"/>
      <c r="E27" s="39"/>
      <c r="F27" s="39"/>
      <c r="G27" s="39"/>
      <c r="H27" s="39"/>
      <c r="I27" s="40"/>
      <c r="J27" s="39"/>
      <c r="K27" s="23"/>
      <c r="L27" s="23"/>
      <c r="M27" s="23"/>
      <c r="N27" s="23"/>
      <c r="O27" s="23"/>
      <c r="P27" s="23"/>
      <c r="Q27" s="23"/>
      <c r="R27" s="23"/>
      <c r="S27" s="23"/>
      <c r="T27" s="23"/>
      <c r="U27" s="23"/>
      <c r="V27" s="23"/>
      <c r="W27" s="23"/>
      <c r="X27" s="23"/>
      <c r="Y27" s="23"/>
      <c r="Z27" s="23"/>
      <c r="AA27" s="23"/>
      <c r="AB27" s="23"/>
      <c r="AC27" s="23"/>
      <c r="AD27" s="23"/>
      <c r="AE27" s="23"/>
      <c r="AF27" s="23"/>
      <c r="AG27" s="23"/>
    </row>
    <row r="28" spans="1:33" x14ac:dyDescent="0.25">
      <c r="A28" s="32">
        <v>25</v>
      </c>
      <c r="B28" s="39"/>
      <c r="C28" s="39"/>
      <c r="D28" s="39"/>
      <c r="E28" s="39"/>
      <c r="F28" s="39"/>
      <c r="G28" s="39"/>
      <c r="H28" s="39"/>
      <c r="I28" s="40"/>
      <c r="J28" s="39"/>
      <c r="K28" s="23"/>
      <c r="L28" s="23" t="s">
        <v>292</v>
      </c>
      <c r="M28" s="23"/>
      <c r="N28" s="23"/>
      <c r="O28" s="23"/>
      <c r="P28" s="23"/>
      <c r="Q28" s="23">
        <f>COUNTA(B4:B104)</f>
        <v>7</v>
      </c>
      <c r="R28" s="23"/>
      <c r="S28" s="23"/>
      <c r="T28" s="23"/>
      <c r="U28" s="23"/>
      <c r="V28" s="23"/>
      <c r="W28" s="23"/>
      <c r="X28" s="23"/>
      <c r="Y28" s="23"/>
      <c r="Z28" s="23"/>
      <c r="AA28" s="23"/>
      <c r="AB28" s="23"/>
      <c r="AC28" s="23"/>
      <c r="AD28" s="23"/>
      <c r="AE28" s="23"/>
      <c r="AF28" s="23"/>
      <c r="AG28" s="23"/>
    </row>
    <row r="29" spans="1:33" x14ac:dyDescent="0.25">
      <c r="A29" s="32">
        <v>26</v>
      </c>
      <c r="B29" s="39"/>
      <c r="C29" s="39"/>
      <c r="D29" s="39"/>
      <c r="E29" s="39"/>
      <c r="F29" s="39"/>
      <c r="G29" s="39"/>
      <c r="H29" s="39"/>
      <c r="I29" s="40"/>
      <c r="J29" s="39"/>
      <c r="K29" s="23"/>
      <c r="L29" s="23"/>
      <c r="M29" s="23"/>
      <c r="N29" s="23"/>
      <c r="O29" s="23"/>
      <c r="P29" s="23"/>
      <c r="Q29" s="23"/>
      <c r="R29" s="23"/>
      <c r="S29" s="23"/>
      <c r="T29" s="23"/>
      <c r="U29" s="23"/>
      <c r="V29" s="23"/>
      <c r="W29" s="23"/>
      <c r="X29" s="23"/>
      <c r="Y29" s="23"/>
      <c r="Z29" s="23"/>
      <c r="AA29" s="23"/>
      <c r="AB29" s="23"/>
      <c r="AC29" s="23"/>
      <c r="AD29" s="23"/>
      <c r="AE29" s="23"/>
      <c r="AF29" s="23"/>
      <c r="AG29" s="23"/>
    </row>
    <row r="31" spans="1:33" x14ac:dyDescent="0.25">
      <c r="L31" s="225" t="s">
        <v>293</v>
      </c>
    </row>
  </sheetData>
  <mergeCells count="2">
    <mergeCell ref="L4:AE4"/>
    <mergeCell ref="L16:AE16"/>
  </mergeCells>
  <pageMargins left="0.7" right="0.7" top="0.75" bottom="0.75" header="0.3" footer="0.3"/>
  <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dimension ref="A1:AE31"/>
  <sheetViews>
    <sheetView showGridLines="0" workbookViewId="0">
      <selection activeCell="Q1" sqref="Q1"/>
    </sheetView>
  </sheetViews>
  <sheetFormatPr defaultRowHeight="15.75" x14ac:dyDescent="0.25"/>
  <cols>
    <col min="1" max="1" width="7.875" bestFit="1" customWidth="1"/>
    <col min="2" max="3" width="10" bestFit="1" customWidth="1"/>
    <col min="4" max="4" width="19" bestFit="1" customWidth="1"/>
    <col min="5" max="5" width="8.375" bestFit="1" customWidth="1"/>
    <col min="6" max="6" width="5.375" bestFit="1" customWidth="1"/>
    <col min="7" max="7" width="5.875" bestFit="1" customWidth="1"/>
    <col min="8" max="8" width="11.875" bestFit="1" customWidth="1"/>
    <col min="9" max="9" width="11.875" customWidth="1"/>
    <col min="10" max="10" width="12.125" bestFit="1" customWidth="1"/>
    <col min="11" max="11" width="3.75" customWidth="1"/>
    <col min="12" max="31" width="3.625" customWidth="1"/>
    <col min="32" max="32" width="3" customWidth="1"/>
  </cols>
  <sheetData>
    <row r="1" spans="1:31" x14ac:dyDescent="0.25">
      <c r="A1" s="16"/>
      <c r="B1" s="16"/>
      <c r="C1" s="16"/>
      <c r="D1" s="16"/>
      <c r="E1" s="16"/>
      <c r="F1" s="16"/>
      <c r="G1" s="16"/>
      <c r="H1" s="16"/>
      <c r="I1" s="16"/>
      <c r="J1" s="16"/>
      <c r="K1" s="16"/>
      <c r="L1" s="16"/>
      <c r="M1" s="16"/>
      <c r="N1" s="16"/>
      <c r="O1" s="16"/>
      <c r="P1" s="16"/>
      <c r="Q1" s="16"/>
      <c r="R1" s="16"/>
      <c r="S1" s="17">
        <f t="shared" ref="S1:AB1" si="0">VLOOKUP(MAX($A$3:$A$147),$A$3:$H$147,2)</f>
        <v>0</v>
      </c>
      <c r="T1" s="17">
        <f t="shared" si="0"/>
        <v>0</v>
      </c>
      <c r="U1" s="17">
        <f t="shared" si="0"/>
        <v>0</v>
      </c>
      <c r="V1" s="17">
        <f t="shared" si="0"/>
        <v>0</v>
      </c>
      <c r="W1" s="17">
        <f t="shared" si="0"/>
        <v>0</v>
      </c>
      <c r="X1" s="17">
        <f t="shared" si="0"/>
        <v>0</v>
      </c>
      <c r="Y1" s="17">
        <f t="shared" si="0"/>
        <v>0</v>
      </c>
      <c r="Z1" s="17">
        <f t="shared" si="0"/>
        <v>0</v>
      </c>
      <c r="AA1" s="17">
        <f t="shared" si="0"/>
        <v>0</v>
      </c>
      <c r="AB1" s="17">
        <f t="shared" si="0"/>
        <v>0</v>
      </c>
      <c r="AC1" s="18"/>
      <c r="AD1" s="18"/>
      <c r="AE1" s="18"/>
    </row>
    <row r="2" spans="1:31" ht="16.5" thickBot="1" x14ac:dyDescent="0.3">
      <c r="A2" s="73"/>
      <c r="B2" s="20"/>
      <c r="C2" s="20"/>
      <c r="D2" s="20"/>
      <c r="E2" s="20"/>
      <c r="F2" s="20"/>
      <c r="G2" s="20"/>
      <c r="H2" s="20"/>
      <c r="I2" s="22"/>
      <c r="J2" s="20"/>
      <c r="K2" s="23"/>
      <c r="L2" s="23"/>
      <c r="M2" s="23"/>
      <c r="N2" s="23"/>
      <c r="O2" s="23"/>
      <c r="P2" s="23"/>
      <c r="Q2" s="23"/>
      <c r="R2" s="23"/>
      <c r="S2" s="23"/>
      <c r="T2" s="23"/>
      <c r="U2" s="23"/>
      <c r="V2" s="23"/>
      <c r="W2" s="23"/>
      <c r="X2" s="23"/>
      <c r="Y2" s="23"/>
      <c r="Z2" s="23"/>
      <c r="AA2" s="23"/>
      <c r="AB2" s="23"/>
      <c r="AC2" s="23"/>
      <c r="AD2" s="23"/>
      <c r="AE2" s="23"/>
    </row>
    <row r="3" spans="1:31" x14ac:dyDescent="0.25">
      <c r="A3" s="68" t="s">
        <v>38</v>
      </c>
      <c r="B3" s="69" t="s">
        <v>39</v>
      </c>
      <c r="C3" s="69" t="s">
        <v>40</v>
      </c>
      <c r="D3" s="69" t="s">
        <v>41</v>
      </c>
      <c r="E3" s="68" t="s">
        <v>42</v>
      </c>
      <c r="F3" s="68" t="s">
        <v>43</v>
      </c>
      <c r="G3" s="68" t="s">
        <v>44</v>
      </c>
      <c r="H3" s="68" t="s">
        <v>45</v>
      </c>
      <c r="I3" s="68" t="s">
        <v>46</v>
      </c>
      <c r="J3" s="68" t="s">
        <v>47</v>
      </c>
      <c r="K3" s="23"/>
      <c r="L3" s="29"/>
      <c r="M3" s="30"/>
      <c r="N3" s="30"/>
      <c r="O3" s="30"/>
      <c r="P3" s="30"/>
      <c r="Q3" s="30"/>
      <c r="R3" s="30"/>
      <c r="S3" s="30"/>
      <c r="T3" s="30"/>
      <c r="U3" s="30"/>
      <c r="V3" s="30"/>
      <c r="W3" s="30"/>
      <c r="X3" s="30"/>
      <c r="Y3" s="30"/>
      <c r="Z3" s="30"/>
      <c r="AA3" s="30"/>
      <c r="AB3" s="30"/>
      <c r="AC3" s="30"/>
      <c r="AD3" s="30"/>
      <c r="AE3" s="31"/>
    </row>
    <row r="4" spans="1:31" x14ac:dyDescent="0.25">
      <c r="A4" s="32">
        <v>1</v>
      </c>
      <c r="B4" s="33" t="s">
        <v>48</v>
      </c>
      <c r="C4" s="34" t="s">
        <v>49</v>
      </c>
      <c r="D4" s="34" t="s">
        <v>50</v>
      </c>
      <c r="E4" s="34" t="s">
        <v>51</v>
      </c>
      <c r="F4" s="35" t="s">
        <v>52</v>
      </c>
      <c r="G4" s="35">
        <v>30062</v>
      </c>
      <c r="H4" s="33" t="s">
        <v>53</v>
      </c>
      <c r="I4" s="37" t="s">
        <v>54</v>
      </c>
      <c r="J4" s="70">
        <v>157665</v>
      </c>
      <c r="K4" s="23"/>
      <c r="L4" s="300" t="s">
        <v>55</v>
      </c>
      <c r="M4" s="301"/>
      <c r="N4" s="301"/>
      <c r="O4" s="301"/>
      <c r="P4" s="301"/>
      <c r="Q4" s="301"/>
      <c r="R4" s="301"/>
      <c r="S4" s="301"/>
      <c r="T4" s="301"/>
      <c r="U4" s="301"/>
      <c r="V4" s="301"/>
      <c r="W4" s="301"/>
      <c r="X4" s="301"/>
      <c r="Y4" s="301"/>
      <c r="Z4" s="301"/>
      <c r="AA4" s="301"/>
      <c r="AB4" s="301"/>
      <c r="AC4" s="301"/>
      <c r="AD4" s="301"/>
      <c r="AE4" s="302"/>
    </row>
    <row r="5" spans="1:31" x14ac:dyDescent="0.25">
      <c r="A5" s="32">
        <v>2</v>
      </c>
      <c r="B5" s="39" t="s">
        <v>56</v>
      </c>
      <c r="C5" s="39" t="s">
        <v>57</v>
      </c>
      <c r="D5" s="39" t="s">
        <v>58</v>
      </c>
      <c r="E5" s="39" t="s">
        <v>51</v>
      </c>
      <c r="F5" s="40" t="s">
        <v>52</v>
      </c>
      <c r="G5" s="40">
        <v>30063</v>
      </c>
      <c r="H5" s="42" t="s">
        <v>59</v>
      </c>
      <c r="I5" s="43" t="s">
        <v>60</v>
      </c>
      <c r="J5" s="71">
        <v>156340</v>
      </c>
      <c r="K5" s="23"/>
      <c r="L5" s="45"/>
      <c r="M5" s="46"/>
      <c r="N5" s="46"/>
      <c r="O5" s="46"/>
      <c r="P5" s="46"/>
      <c r="Q5" s="46"/>
      <c r="R5" s="46"/>
      <c r="S5" s="46"/>
      <c r="T5" s="46"/>
      <c r="U5" s="46"/>
      <c r="V5" s="46"/>
      <c r="W5" s="46"/>
      <c r="X5" s="46"/>
      <c r="Y5" s="46"/>
      <c r="Z5" s="46"/>
      <c r="AA5" s="46"/>
      <c r="AB5" s="46"/>
      <c r="AC5" s="46"/>
      <c r="AD5" s="46"/>
      <c r="AE5" s="47"/>
    </row>
    <row r="6" spans="1:31" x14ac:dyDescent="0.25">
      <c r="A6" s="32">
        <v>3</v>
      </c>
      <c r="B6" s="39" t="s">
        <v>61</v>
      </c>
      <c r="C6" s="42" t="s">
        <v>62</v>
      </c>
      <c r="D6" s="39" t="s">
        <v>63</v>
      </c>
      <c r="E6" s="39" t="s">
        <v>51</v>
      </c>
      <c r="F6" s="40" t="s">
        <v>52</v>
      </c>
      <c r="G6" s="40">
        <v>30064</v>
      </c>
      <c r="H6" s="42" t="s">
        <v>64</v>
      </c>
      <c r="I6" s="43" t="s">
        <v>65</v>
      </c>
      <c r="J6" s="71">
        <v>81480</v>
      </c>
      <c r="K6" s="23"/>
      <c r="L6" s="45"/>
      <c r="M6" s="48" t="s">
        <v>39</v>
      </c>
      <c r="N6" s="46"/>
      <c r="O6" s="46"/>
      <c r="P6" s="49" t="str">
        <f>HLOOKUP(M6,$B$3:$B$10,$Q$28+1,FALSE)</f>
        <v>Collins</v>
      </c>
      <c r="Q6" s="50"/>
      <c r="R6" s="50"/>
      <c r="S6" s="50"/>
      <c r="T6" s="50"/>
      <c r="U6" s="51"/>
      <c r="V6" s="46"/>
      <c r="W6" s="52" t="s">
        <v>42</v>
      </c>
      <c r="X6" s="46"/>
      <c r="Y6" s="49" t="str">
        <f>HLOOKUP(W6,$E$3:$E$10,$Q$28+1,FALSE)</f>
        <v>Norcross</v>
      </c>
      <c r="Z6" s="50"/>
      <c r="AA6" s="50"/>
      <c r="AB6" s="50"/>
      <c r="AC6" s="50"/>
      <c r="AD6" s="51"/>
      <c r="AE6" s="47"/>
    </row>
    <row r="7" spans="1:31" x14ac:dyDescent="0.25">
      <c r="A7" s="32">
        <v>4</v>
      </c>
      <c r="B7" s="39" t="s">
        <v>66</v>
      </c>
      <c r="C7" s="42" t="s">
        <v>67</v>
      </c>
      <c r="D7" s="39" t="s">
        <v>68</v>
      </c>
      <c r="E7" s="39" t="s">
        <v>51</v>
      </c>
      <c r="F7" s="40" t="s">
        <v>52</v>
      </c>
      <c r="G7" s="40">
        <v>30065</v>
      </c>
      <c r="H7" s="42" t="s">
        <v>69</v>
      </c>
      <c r="I7" s="43" t="s">
        <v>54</v>
      </c>
      <c r="J7" s="71">
        <v>202578</v>
      </c>
      <c r="K7" s="23"/>
      <c r="L7" s="45"/>
      <c r="M7" s="46"/>
      <c r="N7" s="46"/>
      <c r="O7" s="46"/>
      <c r="P7" s="46"/>
      <c r="Q7" s="46"/>
      <c r="R7" s="46"/>
      <c r="S7" s="46"/>
      <c r="T7" s="46"/>
      <c r="U7" s="46"/>
      <c r="V7" s="46"/>
      <c r="W7" s="46"/>
      <c r="X7" s="46"/>
      <c r="Y7" s="46"/>
      <c r="Z7" s="46"/>
      <c r="AA7" s="46"/>
      <c r="AB7" s="46"/>
      <c r="AC7" s="46"/>
      <c r="AD7" s="46"/>
      <c r="AE7" s="47"/>
    </row>
    <row r="8" spans="1:31" x14ac:dyDescent="0.25">
      <c r="A8" s="32">
        <v>5</v>
      </c>
      <c r="B8" s="42" t="s">
        <v>70</v>
      </c>
      <c r="C8" s="39" t="s">
        <v>71</v>
      </c>
      <c r="D8" s="39" t="s">
        <v>72</v>
      </c>
      <c r="E8" s="39" t="s">
        <v>51</v>
      </c>
      <c r="F8" s="40" t="s">
        <v>52</v>
      </c>
      <c r="G8" s="40">
        <v>30066</v>
      </c>
      <c r="H8" s="42" t="s">
        <v>73</v>
      </c>
      <c r="I8" s="43" t="s">
        <v>60</v>
      </c>
      <c r="J8" s="71">
        <v>177209</v>
      </c>
      <c r="K8" s="23"/>
      <c r="L8" s="45"/>
      <c r="M8" s="48" t="s">
        <v>40</v>
      </c>
      <c r="N8" s="46"/>
      <c r="O8" s="46"/>
      <c r="P8" s="49" t="str">
        <f>HLOOKUP(M8,$C$3:$C$10,$Q$28+1,FALSE)</f>
        <v>Carlton</v>
      </c>
      <c r="Q8" s="50"/>
      <c r="R8" s="50"/>
      <c r="S8" s="50"/>
      <c r="T8" s="50"/>
      <c r="U8" s="51"/>
      <c r="V8" s="46"/>
      <c r="W8" s="52" t="s">
        <v>43</v>
      </c>
      <c r="X8" s="46"/>
      <c r="Y8" s="49" t="str">
        <f>HLOOKUP(W8,$F$3:$F$10,$Q$28+1,FALSE)</f>
        <v xml:space="preserve">GA </v>
      </c>
      <c r="Z8" s="50"/>
      <c r="AA8" s="50"/>
      <c r="AB8" s="50"/>
      <c r="AC8" s="50"/>
      <c r="AD8" s="51"/>
      <c r="AE8" s="47"/>
    </row>
    <row r="9" spans="1:31" x14ac:dyDescent="0.25">
      <c r="A9" s="32">
        <v>6</v>
      </c>
      <c r="B9" s="39" t="s">
        <v>74</v>
      </c>
      <c r="C9" s="39" t="s">
        <v>75</v>
      </c>
      <c r="D9" s="39" t="s">
        <v>76</v>
      </c>
      <c r="E9" s="39" t="s">
        <v>77</v>
      </c>
      <c r="F9" s="40" t="s">
        <v>52</v>
      </c>
      <c r="G9" s="40">
        <v>30092</v>
      </c>
      <c r="H9" s="42" t="s">
        <v>78</v>
      </c>
      <c r="I9" s="43" t="s">
        <v>65</v>
      </c>
      <c r="J9" s="71">
        <v>212254.23</v>
      </c>
      <c r="K9" s="23"/>
      <c r="L9" s="45"/>
      <c r="M9" s="46"/>
      <c r="N9" s="46"/>
      <c r="O9" s="46"/>
      <c r="P9" s="46"/>
      <c r="Q9" s="46"/>
      <c r="R9" s="46"/>
      <c r="S9" s="46"/>
      <c r="T9" s="46"/>
      <c r="U9" s="46"/>
      <c r="V9" s="46"/>
      <c r="W9" s="46"/>
      <c r="X9" s="46"/>
      <c r="Y9" s="46"/>
      <c r="Z9" s="46"/>
      <c r="AA9" s="46"/>
      <c r="AB9" s="46"/>
      <c r="AC9" s="46"/>
      <c r="AD9" s="46"/>
      <c r="AE9" s="47"/>
    </row>
    <row r="10" spans="1:31" x14ac:dyDescent="0.25">
      <c r="A10" s="32">
        <v>7</v>
      </c>
      <c r="B10" s="39" t="s">
        <v>79</v>
      </c>
      <c r="C10" s="39" t="s">
        <v>80</v>
      </c>
      <c r="D10" s="39" t="s">
        <v>50</v>
      </c>
      <c r="E10" s="39" t="s">
        <v>81</v>
      </c>
      <c r="F10" s="40" t="s">
        <v>82</v>
      </c>
      <c r="G10" s="40">
        <v>30092</v>
      </c>
      <c r="H10" s="42" t="s">
        <v>53</v>
      </c>
      <c r="I10" s="43" t="s">
        <v>54</v>
      </c>
      <c r="J10" s="71">
        <v>124533.45</v>
      </c>
      <c r="K10" s="23"/>
      <c r="L10" s="45"/>
      <c r="M10" s="48" t="s">
        <v>41</v>
      </c>
      <c r="N10" s="46"/>
      <c r="O10" s="46"/>
      <c r="P10" s="49" t="str">
        <f>HLOOKUP(M10,$D$3:$D$10,$Q$28+1,FALSE)</f>
        <v>100 Peachtree Street</v>
      </c>
      <c r="Q10" s="50"/>
      <c r="R10" s="50"/>
      <c r="S10" s="50"/>
      <c r="T10" s="50"/>
      <c r="U10" s="51"/>
      <c r="V10" s="46"/>
      <c r="W10" s="52" t="s">
        <v>44</v>
      </c>
      <c r="X10" s="46"/>
      <c r="Y10" s="77">
        <f>HLOOKUP(W10,$G$3:$G$10,$Q$28+1,FALSE)</f>
        <v>30092</v>
      </c>
      <c r="Z10" s="50"/>
      <c r="AA10" s="50"/>
      <c r="AB10" s="50"/>
      <c r="AC10" s="50"/>
      <c r="AD10" s="51"/>
      <c r="AE10" s="47"/>
    </row>
    <row r="11" spans="1:31" x14ac:dyDescent="0.25">
      <c r="A11" s="32">
        <v>8</v>
      </c>
      <c r="B11" s="39"/>
      <c r="C11" s="39"/>
      <c r="D11" s="39"/>
      <c r="E11" s="39"/>
      <c r="F11" s="39"/>
      <c r="G11" s="39"/>
      <c r="H11" s="39"/>
      <c r="I11" s="40"/>
      <c r="J11" s="39"/>
      <c r="K11" s="23"/>
      <c r="L11" s="45"/>
      <c r="M11" s="46"/>
      <c r="N11" s="46"/>
      <c r="O11" s="46"/>
      <c r="P11" s="46"/>
      <c r="Q11" s="46"/>
      <c r="R11" s="46"/>
      <c r="S11" s="46"/>
      <c r="T11" s="46"/>
      <c r="U11" s="46"/>
      <c r="V11" s="46"/>
      <c r="W11" s="46"/>
      <c r="X11" s="46"/>
      <c r="Y11" s="46"/>
      <c r="Z11" s="46"/>
      <c r="AA11" s="46"/>
      <c r="AB11" s="46"/>
      <c r="AC11" s="46"/>
      <c r="AD11" s="46"/>
      <c r="AE11" s="47"/>
    </row>
    <row r="12" spans="1:31" x14ac:dyDescent="0.25">
      <c r="A12" s="32">
        <v>9</v>
      </c>
      <c r="B12" s="39"/>
      <c r="C12" s="39"/>
      <c r="D12" s="39"/>
      <c r="E12" s="39"/>
      <c r="F12" s="39"/>
      <c r="G12" s="39"/>
      <c r="H12" s="39"/>
      <c r="I12" s="40"/>
      <c r="J12" s="39"/>
      <c r="K12" s="23"/>
      <c r="L12" s="45"/>
      <c r="M12" s="52" t="s">
        <v>45</v>
      </c>
      <c r="N12" s="46"/>
      <c r="O12" s="46"/>
      <c r="P12" s="49" t="str">
        <f>HLOOKUP(M12,$H$3:$H$10,$Q$28+1,FALSE)</f>
        <v>770.842.5902</v>
      </c>
      <c r="Q12" s="50"/>
      <c r="R12" s="50"/>
      <c r="S12" s="50"/>
      <c r="T12" s="50"/>
      <c r="U12" s="51"/>
      <c r="V12" s="46"/>
      <c r="W12" s="60" t="s">
        <v>99</v>
      </c>
      <c r="X12" s="46"/>
      <c r="Y12" s="49" t="str">
        <f>HLOOKUP("Pension Plan",$I$3:$I$10,$Q$28+1,FALSE)</f>
        <v>Plan A</v>
      </c>
      <c r="Z12" s="50"/>
      <c r="AA12" s="50"/>
      <c r="AB12" s="50"/>
      <c r="AC12" s="50"/>
      <c r="AD12" s="51"/>
      <c r="AE12" s="47"/>
    </row>
    <row r="13" spans="1:31" x14ac:dyDescent="0.25">
      <c r="A13" s="32">
        <v>10</v>
      </c>
      <c r="B13" s="39"/>
      <c r="C13" s="39"/>
      <c r="D13" s="39"/>
      <c r="E13" s="39"/>
      <c r="F13" s="39"/>
      <c r="G13" s="39"/>
      <c r="H13" s="39"/>
      <c r="I13" s="40"/>
      <c r="J13" s="39"/>
      <c r="K13" s="23"/>
      <c r="L13" s="45"/>
      <c r="M13" s="46"/>
      <c r="N13" s="46"/>
      <c r="O13" s="46"/>
      <c r="P13" s="46"/>
      <c r="Q13" s="46"/>
      <c r="R13" s="46"/>
      <c r="S13" s="46"/>
      <c r="T13" s="46"/>
      <c r="U13" s="46"/>
      <c r="V13" s="46"/>
      <c r="W13" s="46"/>
      <c r="X13" s="46"/>
      <c r="Y13" s="46"/>
      <c r="Z13" s="46"/>
      <c r="AA13" s="46"/>
      <c r="AB13" s="46"/>
      <c r="AC13" s="46"/>
      <c r="AD13" s="46"/>
      <c r="AE13" s="47"/>
    </row>
    <row r="14" spans="1:31" x14ac:dyDescent="0.25">
      <c r="A14" s="32">
        <v>11</v>
      </c>
      <c r="B14" s="39"/>
      <c r="C14" s="39"/>
      <c r="D14" s="39"/>
      <c r="E14" s="39"/>
      <c r="F14" s="39"/>
      <c r="G14" s="39"/>
      <c r="H14" s="39"/>
      <c r="I14" s="40"/>
      <c r="J14" s="39"/>
      <c r="K14" s="23"/>
      <c r="L14" s="45"/>
      <c r="M14" s="52" t="s">
        <v>90</v>
      </c>
      <c r="N14" s="46"/>
      <c r="O14" s="46"/>
      <c r="P14" s="46"/>
      <c r="Q14" s="46"/>
      <c r="R14" s="46"/>
      <c r="S14" s="46"/>
      <c r="T14" s="46"/>
      <c r="U14" s="46"/>
      <c r="V14" s="46"/>
      <c r="W14" s="46"/>
      <c r="X14" s="46"/>
      <c r="Y14" s="224">
        <f>HLOOKUP("Balance",$J$3:$J$10,$Q$28+1,FALSE)</f>
        <v>124533.45</v>
      </c>
      <c r="Z14" s="50"/>
      <c r="AA14" s="50"/>
      <c r="AB14" s="50"/>
      <c r="AC14" s="50"/>
      <c r="AD14" s="51"/>
      <c r="AE14" s="47"/>
    </row>
    <row r="15" spans="1:31" x14ac:dyDescent="0.25">
      <c r="A15" s="32">
        <v>12</v>
      </c>
      <c r="B15" s="39"/>
      <c r="C15" s="39"/>
      <c r="D15" s="39"/>
      <c r="E15" s="39"/>
      <c r="F15" s="39"/>
      <c r="G15" s="39"/>
      <c r="H15" s="39"/>
      <c r="I15" s="40"/>
      <c r="J15" s="39"/>
      <c r="K15" s="23"/>
      <c r="L15" s="45"/>
      <c r="M15" s="46"/>
      <c r="N15" s="46"/>
      <c r="O15" s="46"/>
      <c r="P15" s="46"/>
      <c r="Q15" s="46"/>
      <c r="R15" s="46"/>
      <c r="S15" s="46"/>
      <c r="T15" s="46"/>
      <c r="U15" s="46"/>
      <c r="V15" s="46"/>
      <c r="W15" s="46"/>
      <c r="X15" s="46"/>
      <c r="Y15" s="46"/>
      <c r="Z15" s="46"/>
      <c r="AA15" s="46"/>
      <c r="AB15" s="46"/>
      <c r="AC15" s="46"/>
      <c r="AD15" s="46"/>
      <c r="AE15" s="47"/>
    </row>
    <row r="16" spans="1:31" x14ac:dyDescent="0.25">
      <c r="A16" s="32">
        <v>13</v>
      </c>
      <c r="B16" s="39"/>
      <c r="C16" s="39"/>
      <c r="D16" s="39"/>
      <c r="E16" s="39"/>
      <c r="F16" s="39"/>
      <c r="G16" s="39"/>
      <c r="H16" s="39"/>
      <c r="I16" s="40"/>
      <c r="J16" s="39"/>
      <c r="K16" s="23"/>
      <c r="L16" s="303" t="s">
        <v>91</v>
      </c>
      <c r="M16" s="304"/>
      <c r="N16" s="304"/>
      <c r="O16" s="304"/>
      <c r="P16" s="304"/>
      <c r="Q16" s="304"/>
      <c r="R16" s="304"/>
      <c r="S16" s="304"/>
      <c r="T16" s="304"/>
      <c r="U16" s="304"/>
      <c r="V16" s="304"/>
      <c r="W16" s="304"/>
      <c r="X16" s="304"/>
      <c r="Y16" s="304"/>
      <c r="Z16" s="304"/>
      <c r="AA16" s="304"/>
      <c r="AB16" s="304"/>
      <c r="AC16" s="304"/>
      <c r="AD16" s="304"/>
      <c r="AE16" s="305"/>
    </row>
    <row r="17" spans="1:31" ht="16.5" thickBot="1" x14ac:dyDescent="0.3">
      <c r="A17" s="32">
        <v>14</v>
      </c>
      <c r="B17" s="39"/>
      <c r="C17" s="39"/>
      <c r="D17" s="39"/>
      <c r="E17" s="39"/>
      <c r="F17" s="39"/>
      <c r="G17" s="39"/>
      <c r="H17" s="39"/>
      <c r="I17" s="40"/>
      <c r="J17" s="39"/>
      <c r="K17" s="23"/>
      <c r="L17" s="61"/>
      <c r="M17" s="62"/>
      <c r="N17" s="62"/>
      <c r="O17" s="62"/>
      <c r="P17" s="62"/>
      <c r="Q17" s="62"/>
      <c r="R17" s="62"/>
      <c r="S17" s="62"/>
      <c r="T17" s="62"/>
      <c r="U17" s="62"/>
      <c r="V17" s="62"/>
      <c r="W17" s="62"/>
      <c r="X17" s="62"/>
      <c r="Y17" s="62"/>
      <c r="Z17" s="62"/>
      <c r="AA17" s="62"/>
      <c r="AB17" s="62"/>
      <c r="AC17" s="62"/>
      <c r="AD17" s="62"/>
      <c r="AE17" s="63"/>
    </row>
    <row r="18" spans="1:31" x14ac:dyDescent="0.25">
      <c r="A18" s="32">
        <v>15</v>
      </c>
      <c r="B18" s="39"/>
      <c r="C18" s="39"/>
      <c r="D18" s="39"/>
      <c r="E18" s="39"/>
      <c r="F18" s="39"/>
      <c r="G18" s="39"/>
      <c r="H18" s="39"/>
      <c r="I18" s="40"/>
      <c r="J18" s="39"/>
      <c r="K18" s="23"/>
      <c r="L18" s="23"/>
      <c r="M18" s="23"/>
      <c r="N18" s="23"/>
      <c r="O18" s="23"/>
      <c r="P18" s="23"/>
      <c r="Q18" s="23"/>
      <c r="R18" s="23"/>
      <c r="S18" s="23"/>
      <c r="T18" s="23"/>
      <c r="U18" s="23"/>
      <c r="V18" s="23"/>
      <c r="W18" s="23"/>
      <c r="X18" s="23"/>
      <c r="Y18" s="23"/>
      <c r="Z18" s="23"/>
      <c r="AA18" s="23"/>
      <c r="AB18" s="23"/>
      <c r="AC18" s="23"/>
      <c r="AD18" s="23"/>
      <c r="AE18" s="23"/>
    </row>
    <row r="19" spans="1:31" x14ac:dyDescent="0.25">
      <c r="A19" s="32">
        <v>16</v>
      </c>
      <c r="B19" s="39"/>
      <c r="C19" s="39"/>
      <c r="D19" s="39"/>
      <c r="E19" s="39"/>
      <c r="F19" s="39"/>
      <c r="G19" s="39"/>
      <c r="H19" s="39"/>
      <c r="I19" s="40"/>
      <c r="J19" s="39"/>
      <c r="K19" s="23"/>
      <c r="L19" s="23"/>
      <c r="M19" s="23"/>
      <c r="N19" s="23"/>
      <c r="O19" s="23"/>
      <c r="P19" s="23"/>
      <c r="Q19" s="23"/>
      <c r="R19" s="23"/>
      <c r="S19" s="23"/>
      <c r="T19" s="23"/>
      <c r="U19" s="23"/>
      <c r="V19" s="23"/>
      <c r="W19" s="23"/>
      <c r="X19" s="23"/>
      <c r="Y19" s="23"/>
      <c r="Z19" s="23"/>
      <c r="AA19" s="23"/>
      <c r="AB19" s="23"/>
      <c r="AC19" s="23"/>
      <c r="AD19" s="23"/>
      <c r="AE19" s="23"/>
    </row>
    <row r="20" spans="1:31" x14ac:dyDescent="0.25">
      <c r="A20" s="32">
        <v>17</v>
      </c>
      <c r="B20" s="39"/>
      <c r="C20" s="39"/>
      <c r="D20" s="39"/>
      <c r="E20" s="39"/>
      <c r="F20" s="39"/>
      <c r="G20" s="39"/>
      <c r="H20" s="39"/>
      <c r="I20" s="40"/>
      <c r="J20" s="39"/>
      <c r="K20" s="23"/>
      <c r="L20" s="23"/>
      <c r="M20" s="23"/>
      <c r="N20" s="23"/>
      <c r="O20" s="23"/>
      <c r="P20" s="23"/>
      <c r="Q20" s="23"/>
      <c r="R20" s="23"/>
      <c r="S20" s="23"/>
      <c r="T20" s="23"/>
      <c r="U20" s="23"/>
      <c r="V20" s="23"/>
      <c r="W20" s="23"/>
      <c r="X20" s="23"/>
      <c r="Y20" s="23"/>
      <c r="Z20" s="23"/>
      <c r="AA20" s="23"/>
      <c r="AB20" s="23"/>
      <c r="AC20" s="23"/>
      <c r="AD20" s="23"/>
      <c r="AE20" s="23"/>
    </row>
    <row r="21" spans="1:31" x14ac:dyDescent="0.25">
      <c r="A21" s="32">
        <v>18</v>
      </c>
      <c r="B21" s="39"/>
      <c r="C21" s="39"/>
      <c r="D21" s="39"/>
      <c r="E21" s="39"/>
      <c r="F21" s="39"/>
      <c r="G21" s="39"/>
      <c r="H21" s="39"/>
      <c r="I21" s="40"/>
      <c r="J21" s="39"/>
      <c r="K21" s="23"/>
      <c r="L21" s="23"/>
      <c r="M21" s="23"/>
      <c r="N21" s="23"/>
      <c r="O21" s="23"/>
      <c r="P21" s="23"/>
      <c r="Q21" s="23"/>
      <c r="R21" s="23"/>
      <c r="S21" s="23"/>
      <c r="T21" s="23"/>
      <c r="U21" s="23"/>
      <c r="V21" s="23"/>
      <c r="W21" s="23"/>
      <c r="X21" s="23"/>
      <c r="Y21" s="23"/>
      <c r="Z21" s="23"/>
      <c r="AA21" s="23"/>
      <c r="AB21" s="23"/>
      <c r="AC21" s="23"/>
      <c r="AD21" s="23"/>
      <c r="AE21" s="23"/>
    </row>
    <row r="22" spans="1:31" x14ac:dyDescent="0.25">
      <c r="A22" s="32">
        <v>19</v>
      </c>
      <c r="B22" s="39"/>
      <c r="C22" s="39"/>
      <c r="D22" s="39"/>
      <c r="E22" s="39"/>
      <c r="F22" s="39"/>
      <c r="G22" s="39"/>
      <c r="H22" s="39"/>
      <c r="I22" s="40"/>
      <c r="J22" s="39"/>
      <c r="K22" s="23"/>
      <c r="L22" s="23"/>
      <c r="M22" s="23"/>
      <c r="N22" s="23"/>
      <c r="O22" s="23"/>
      <c r="P22" s="23"/>
      <c r="Q22" s="23"/>
      <c r="R22" s="23"/>
      <c r="S22" s="23"/>
      <c r="T22" s="23"/>
      <c r="U22" s="23"/>
      <c r="V22" s="23"/>
      <c r="W22" s="23"/>
      <c r="X22" s="23"/>
      <c r="Y22" s="23"/>
      <c r="Z22" s="23"/>
      <c r="AA22" s="23"/>
      <c r="AB22" s="23"/>
      <c r="AC22" s="23"/>
      <c r="AD22" s="23"/>
      <c r="AE22" s="23"/>
    </row>
    <row r="23" spans="1:31" x14ac:dyDescent="0.25">
      <c r="A23" s="32">
        <v>20</v>
      </c>
      <c r="B23" s="39"/>
      <c r="C23" s="39"/>
      <c r="D23" s="39"/>
      <c r="E23" s="39"/>
      <c r="F23" s="39"/>
      <c r="G23" s="39"/>
      <c r="H23" s="39"/>
      <c r="I23" s="40"/>
      <c r="J23" s="39"/>
      <c r="K23" s="23"/>
      <c r="L23" s="23"/>
      <c r="M23" s="23"/>
      <c r="N23" s="23"/>
      <c r="O23" s="23"/>
      <c r="P23" s="23"/>
      <c r="Q23" s="23"/>
      <c r="R23" s="23"/>
      <c r="S23" s="23"/>
      <c r="T23" s="23"/>
      <c r="U23" s="23"/>
      <c r="V23" s="23"/>
      <c r="W23" s="23"/>
      <c r="X23" s="23"/>
      <c r="Y23" s="23"/>
      <c r="Z23" s="23"/>
      <c r="AA23" s="23"/>
      <c r="AB23" s="23"/>
      <c r="AC23" s="23"/>
      <c r="AD23" s="23"/>
      <c r="AE23" s="23"/>
    </row>
    <row r="24" spans="1:31" x14ac:dyDescent="0.25">
      <c r="A24" s="32">
        <v>21</v>
      </c>
      <c r="B24" s="39"/>
      <c r="C24" s="39"/>
      <c r="D24" s="39"/>
      <c r="E24" s="39"/>
      <c r="F24" s="39"/>
      <c r="G24" s="39"/>
      <c r="H24" s="39"/>
      <c r="I24" s="40"/>
      <c r="J24" s="39"/>
      <c r="K24" s="23"/>
      <c r="L24" s="23"/>
      <c r="M24" s="23"/>
      <c r="N24" s="23"/>
      <c r="O24" s="23"/>
      <c r="P24" s="23"/>
      <c r="Q24" s="23"/>
      <c r="R24" s="23"/>
      <c r="S24" s="23"/>
      <c r="T24" s="23"/>
      <c r="U24" s="23"/>
      <c r="V24" s="23"/>
      <c r="W24" s="23"/>
      <c r="X24" s="23"/>
      <c r="Y24" s="23"/>
      <c r="Z24" s="23"/>
      <c r="AA24" s="23"/>
      <c r="AB24" s="23"/>
      <c r="AC24" s="23"/>
      <c r="AD24" s="23"/>
      <c r="AE24" s="23"/>
    </row>
    <row r="25" spans="1:31" x14ac:dyDescent="0.25">
      <c r="A25" s="32">
        <v>22</v>
      </c>
      <c r="B25" s="39"/>
      <c r="C25" s="39"/>
      <c r="D25" s="39"/>
      <c r="E25" s="39"/>
      <c r="F25" s="39"/>
      <c r="G25" s="39"/>
      <c r="H25" s="39"/>
      <c r="I25" s="40"/>
      <c r="J25" s="39"/>
      <c r="K25" s="23"/>
      <c r="L25" s="23"/>
      <c r="M25" s="23"/>
      <c r="N25" s="23"/>
      <c r="O25" s="23"/>
      <c r="P25" s="23"/>
      <c r="Q25" s="23"/>
      <c r="R25" s="23"/>
      <c r="S25" s="23"/>
      <c r="T25" s="23"/>
      <c r="U25" s="23"/>
      <c r="V25" s="23"/>
      <c r="W25" s="23"/>
      <c r="X25" s="23"/>
      <c r="Y25" s="23"/>
      <c r="Z25" s="23"/>
      <c r="AA25" s="23"/>
      <c r="AB25" s="23"/>
      <c r="AC25" s="23"/>
      <c r="AD25" s="23"/>
      <c r="AE25" s="23"/>
    </row>
    <row r="26" spans="1:31" x14ac:dyDescent="0.25">
      <c r="A26" s="32">
        <v>23</v>
      </c>
      <c r="B26" s="39"/>
      <c r="C26" s="39"/>
      <c r="D26" s="39"/>
      <c r="E26" s="39"/>
      <c r="F26" s="39"/>
      <c r="G26" s="39"/>
      <c r="H26" s="39"/>
      <c r="I26" s="40"/>
      <c r="J26" s="39"/>
      <c r="K26" s="23"/>
      <c r="L26" s="23"/>
      <c r="M26" s="23"/>
      <c r="N26" s="23"/>
      <c r="O26" s="23"/>
      <c r="P26" s="23"/>
      <c r="Q26" s="23"/>
      <c r="R26" s="23"/>
      <c r="S26" s="23"/>
      <c r="T26" s="23"/>
      <c r="U26" s="23"/>
      <c r="V26" s="23"/>
      <c r="W26" s="23"/>
      <c r="X26" s="23"/>
      <c r="Y26" s="23"/>
      <c r="Z26" s="23"/>
      <c r="AA26" s="23"/>
      <c r="AB26" s="23"/>
      <c r="AC26" s="23"/>
      <c r="AD26" s="23"/>
      <c r="AE26" s="23"/>
    </row>
    <row r="27" spans="1:31" x14ac:dyDescent="0.25">
      <c r="A27" s="32">
        <v>24</v>
      </c>
      <c r="B27" s="39"/>
      <c r="C27" s="39"/>
      <c r="D27" s="39"/>
      <c r="E27" s="39"/>
      <c r="F27" s="39"/>
      <c r="G27" s="39"/>
      <c r="H27" s="39"/>
      <c r="I27" s="40"/>
      <c r="J27" s="39"/>
      <c r="K27" s="23"/>
      <c r="L27" s="23"/>
      <c r="M27" s="23"/>
      <c r="N27" s="23"/>
      <c r="O27" s="23"/>
      <c r="P27" s="23"/>
      <c r="Q27" s="23"/>
      <c r="R27" s="23"/>
      <c r="S27" s="23"/>
      <c r="T27" s="23"/>
      <c r="U27" s="23"/>
      <c r="V27" s="23"/>
      <c r="W27" s="23"/>
      <c r="X27" s="23"/>
      <c r="Y27" s="23"/>
      <c r="Z27" s="23"/>
      <c r="AA27" s="23"/>
      <c r="AB27" s="23"/>
      <c r="AC27" s="23"/>
      <c r="AD27" s="23"/>
      <c r="AE27" s="23"/>
    </row>
    <row r="28" spans="1:31" x14ac:dyDescent="0.25">
      <c r="A28" s="32">
        <v>25</v>
      </c>
      <c r="B28" s="39"/>
      <c r="C28" s="39"/>
      <c r="D28" s="39"/>
      <c r="E28" s="39"/>
      <c r="F28" s="39"/>
      <c r="G28" s="39"/>
      <c r="H28" s="39"/>
      <c r="I28" s="40"/>
      <c r="J28" s="39"/>
      <c r="K28" s="23"/>
      <c r="L28" s="23" t="s">
        <v>292</v>
      </c>
      <c r="M28" s="23"/>
      <c r="N28" s="23"/>
      <c r="O28" s="23"/>
      <c r="P28" s="23"/>
      <c r="Q28" s="23">
        <f>COUNTA(B4:B104)</f>
        <v>7</v>
      </c>
      <c r="R28" s="23"/>
      <c r="S28" s="23"/>
      <c r="T28" s="23"/>
      <c r="U28" s="23"/>
      <c r="V28" s="23"/>
      <c r="W28" s="23"/>
      <c r="X28" s="23"/>
      <c r="Y28" s="23"/>
      <c r="Z28" s="23"/>
      <c r="AA28" s="23"/>
      <c r="AB28" s="23"/>
      <c r="AC28" s="23"/>
      <c r="AD28" s="23"/>
      <c r="AE28" s="23"/>
    </row>
    <row r="29" spans="1:31" x14ac:dyDescent="0.25">
      <c r="A29" s="32">
        <v>26</v>
      </c>
      <c r="B29" s="39"/>
      <c r="C29" s="39"/>
      <c r="D29" s="39"/>
      <c r="E29" s="39"/>
      <c r="F29" s="39"/>
      <c r="G29" s="39"/>
      <c r="H29" s="39"/>
      <c r="I29" s="40"/>
      <c r="J29" s="39"/>
      <c r="K29" s="23"/>
      <c r="L29" s="23"/>
      <c r="M29" s="23"/>
      <c r="N29" s="23"/>
      <c r="O29" s="23"/>
      <c r="P29" s="23"/>
      <c r="Q29" s="23"/>
      <c r="R29" s="23"/>
      <c r="S29" s="23"/>
      <c r="T29" s="23"/>
      <c r="U29" s="23"/>
      <c r="V29" s="23"/>
      <c r="W29" s="23"/>
      <c r="X29" s="23"/>
      <c r="Y29" s="23"/>
      <c r="Z29" s="23"/>
      <c r="AA29" s="23"/>
      <c r="AB29" s="23"/>
      <c r="AC29" s="23"/>
      <c r="AD29" s="23"/>
      <c r="AE29" s="23"/>
    </row>
    <row r="31" spans="1:31" x14ac:dyDescent="0.25">
      <c r="L31" s="225" t="s">
        <v>293</v>
      </c>
    </row>
  </sheetData>
  <mergeCells count="2">
    <mergeCell ref="L4:AE4"/>
    <mergeCell ref="L16:AE16"/>
  </mergeCells>
  <pageMargins left="0.7" right="0.7" top="0.75" bottom="0.75" header="0.3" footer="0.3"/>
  <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dimension ref="A1:AG28"/>
  <sheetViews>
    <sheetView showGridLines="0" workbookViewId="0">
      <selection activeCell="Q1" sqref="Q1"/>
    </sheetView>
  </sheetViews>
  <sheetFormatPr defaultRowHeight="15.75" x14ac:dyDescent="0.25"/>
  <cols>
    <col min="1" max="1" width="7.875" bestFit="1" customWidth="1"/>
    <col min="2" max="3" width="10" bestFit="1" customWidth="1"/>
    <col min="4" max="4" width="19" bestFit="1" customWidth="1"/>
    <col min="5" max="5" width="8.375" bestFit="1" customWidth="1"/>
    <col min="6" max="6" width="5.375" bestFit="1" customWidth="1"/>
    <col min="7" max="7" width="5.875" bestFit="1" customWidth="1"/>
    <col min="8" max="8" width="11.875" bestFit="1" customWidth="1"/>
    <col min="9" max="9" width="11.875" customWidth="1"/>
    <col min="10" max="10" width="12.125" bestFit="1" customWidth="1"/>
    <col min="11" max="11" width="3.75" customWidth="1"/>
    <col min="12" max="31" width="3.625" customWidth="1"/>
    <col min="32" max="32" width="3" customWidth="1"/>
  </cols>
  <sheetData>
    <row r="1" spans="1:33" x14ac:dyDescent="0.25">
      <c r="A1" s="16"/>
      <c r="B1" s="16"/>
      <c r="C1" s="16"/>
      <c r="D1" s="16"/>
      <c r="E1" s="16"/>
      <c r="F1" s="16"/>
      <c r="G1" s="16"/>
      <c r="H1" s="16"/>
      <c r="I1" s="16"/>
      <c r="J1" s="16"/>
      <c r="K1" s="16"/>
      <c r="L1" s="16"/>
      <c r="M1" s="16"/>
      <c r="N1" s="16"/>
      <c r="O1" s="16"/>
      <c r="P1" s="16"/>
      <c r="Q1" s="16"/>
      <c r="R1" s="16"/>
      <c r="S1" s="17">
        <f t="shared" ref="S1:AB1" si="0">VLOOKUP(MAX($A$3:$A$147),$A$3:$H$147,2)</f>
        <v>0</v>
      </c>
      <c r="T1" s="17">
        <f t="shared" si="0"/>
        <v>0</v>
      </c>
      <c r="U1" s="17">
        <f t="shared" si="0"/>
        <v>0</v>
      </c>
      <c r="V1" s="17">
        <f t="shared" si="0"/>
        <v>0</v>
      </c>
      <c r="W1" s="17">
        <f t="shared" si="0"/>
        <v>0</v>
      </c>
      <c r="X1" s="17">
        <f t="shared" si="0"/>
        <v>0</v>
      </c>
      <c r="Y1" s="17">
        <f t="shared" si="0"/>
        <v>0</v>
      </c>
      <c r="Z1" s="17">
        <f t="shared" si="0"/>
        <v>0</v>
      </c>
      <c r="AA1" s="17">
        <f t="shared" si="0"/>
        <v>0</v>
      </c>
      <c r="AB1" s="17">
        <f t="shared" si="0"/>
        <v>0</v>
      </c>
      <c r="AC1" s="226"/>
      <c r="AD1" s="226"/>
      <c r="AE1" s="226"/>
      <c r="AF1" s="226"/>
      <c r="AG1" s="226"/>
    </row>
    <row r="2" spans="1:33" ht="16.5" thickBot="1" x14ac:dyDescent="0.3">
      <c r="A2" s="19"/>
      <c r="B2" s="227"/>
      <c r="C2" s="227"/>
      <c r="D2" s="227"/>
      <c r="E2" s="227"/>
      <c r="F2" s="227"/>
      <c r="G2" s="227"/>
      <c r="H2" s="227"/>
      <c r="I2" s="66"/>
      <c r="J2" s="227"/>
      <c r="K2" s="58"/>
      <c r="L2" s="58"/>
      <c r="M2" s="58"/>
      <c r="N2" s="58"/>
      <c r="O2" s="58"/>
      <c r="P2" s="58"/>
      <c r="Q2" s="58"/>
      <c r="R2" s="58"/>
      <c r="S2" s="58"/>
      <c r="T2" s="58"/>
      <c r="U2" s="58"/>
      <c r="V2" s="58"/>
      <c r="W2" s="58"/>
      <c r="X2" s="58"/>
      <c r="Y2" s="58"/>
      <c r="Z2" s="58"/>
      <c r="AA2" s="58"/>
      <c r="AB2" s="58"/>
      <c r="AC2" s="58"/>
      <c r="AD2" s="58"/>
      <c r="AE2" s="58"/>
      <c r="AF2" s="58"/>
      <c r="AG2" s="58"/>
    </row>
    <row r="3" spans="1:33" x14ac:dyDescent="0.25">
      <c r="A3" s="228" t="s">
        <v>38</v>
      </c>
      <c r="B3" s="229" t="s">
        <v>39</v>
      </c>
      <c r="C3" s="229" t="s">
        <v>40</v>
      </c>
      <c r="D3" s="229" t="s">
        <v>41</v>
      </c>
      <c r="E3" s="228" t="s">
        <v>42</v>
      </c>
      <c r="F3" s="228" t="s">
        <v>43</v>
      </c>
      <c r="G3" s="228" t="s">
        <v>44</v>
      </c>
      <c r="H3" s="228" t="s">
        <v>45</v>
      </c>
      <c r="I3" s="228" t="s">
        <v>46</v>
      </c>
      <c r="J3" s="228" t="s">
        <v>47</v>
      </c>
      <c r="K3" s="58"/>
      <c r="L3" s="230"/>
      <c r="M3" s="231"/>
      <c r="N3" s="231"/>
      <c r="O3" s="231"/>
      <c r="P3" s="231"/>
      <c r="Q3" s="231"/>
      <c r="R3" s="231"/>
      <c r="S3" s="231"/>
      <c r="T3" s="231"/>
      <c r="U3" s="231"/>
      <c r="V3" s="231"/>
      <c r="W3" s="231"/>
      <c r="X3" s="231"/>
      <c r="Y3" s="231"/>
      <c r="Z3" s="231"/>
      <c r="AA3" s="231"/>
      <c r="AB3" s="231"/>
      <c r="AC3" s="231"/>
      <c r="AD3" s="231"/>
      <c r="AE3" s="232"/>
      <c r="AF3" s="58"/>
      <c r="AG3" s="58"/>
    </row>
    <row r="4" spans="1:33" x14ac:dyDescent="0.25">
      <c r="A4" s="32">
        <v>1</v>
      </c>
      <c r="B4" s="233" t="s">
        <v>48</v>
      </c>
      <c r="C4" s="234" t="s">
        <v>49</v>
      </c>
      <c r="D4" s="234" t="s">
        <v>50</v>
      </c>
      <c r="E4" s="234" t="s">
        <v>51</v>
      </c>
      <c r="F4" s="235" t="s">
        <v>52</v>
      </c>
      <c r="G4" s="235">
        <v>30062</v>
      </c>
      <c r="H4" s="233" t="s">
        <v>53</v>
      </c>
      <c r="I4" s="236" t="s">
        <v>54</v>
      </c>
      <c r="J4" s="237">
        <v>157665</v>
      </c>
      <c r="K4" s="58"/>
      <c r="L4" s="388" t="s">
        <v>55</v>
      </c>
      <c r="M4" s="389"/>
      <c r="N4" s="389"/>
      <c r="O4" s="389"/>
      <c r="P4" s="389"/>
      <c r="Q4" s="389"/>
      <c r="R4" s="389"/>
      <c r="S4" s="389"/>
      <c r="T4" s="389"/>
      <c r="U4" s="389"/>
      <c r="V4" s="389"/>
      <c r="W4" s="389"/>
      <c r="X4" s="389"/>
      <c r="Y4" s="389"/>
      <c r="Z4" s="389"/>
      <c r="AA4" s="389"/>
      <c r="AB4" s="389"/>
      <c r="AC4" s="389"/>
      <c r="AD4" s="389"/>
      <c r="AE4" s="390"/>
      <c r="AF4" s="58"/>
      <c r="AG4" s="58"/>
    </row>
    <row r="5" spans="1:33" x14ac:dyDescent="0.25">
      <c r="A5" s="32">
        <v>2</v>
      </c>
      <c r="B5" s="238" t="s">
        <v>56</v>
      </c>
      <c r="C5" s="238" t="s">
        <v>57</v>
      </c>
      <c r="D5" s="238" t="s">
        <v>58</v>
      </c>
      <c r="E5" s="238" t="s">
        <v>51</v>
      </c>
      <c r="F5" s="239" t="s">
        <v>52</v>
      </c>
      <c r="G5" s="239">
        <v>30063</v>
      </c>
      <c r="H5" s="240" t="s">
        <v>59</v>
      </c>
      <c r="I5" s="241" t="s">
        <v>60</v>
      </c>
      <c r="J5" s="242">
        <v>156340</v>
      </c>
      <c r="K5" s="58"/>
      <c r="L5" s="243"/>
      <c r="M5" s="210"/>
      <c r="N5" s="210"/>
      <c r="O5" s="210"/>
      <c r="P5" s="210"/>
      <c r="Q5" s="210"/>
      <c r="R5" s="210"/>
      <c r="S5" s="210"/>
      <c r="T5" s="210"/>
      <c r="U5" s="210"/>
      <c r="V5" s="210"/>
      <c r="W5" s="210"/>
      <c r="X5" s="210"/>
      <c r="Y5" s="210"/>
      <c r="Z5" s="210"/>
      <c r="AA5" s="210"/>
      <c r="AB5" s="210"/>
      <c r="AC5" s="210"/>
      <c r="AD5" s="210"/>
      <c r="AE5" s="244"/>
      <c r="AF5" s="58"/>
      <c r="AG5" s="58"/>
    </row>
    <row r="6" spans="1:33" x14ac:dyDescent="0.25">
      <c r="A6" s="32">
        <v>3</v>
      </c>
      <c r="B6" s="238" t="s">
        <v>61</v>
      </c>
      <c r="C6" s="240" t="s">
        <v>62</v>
      </c>
      <c r="D6" s="238" t="s">
        <v>63</v>
      </c>
      <c r="E6" s="238" t="s">
        <v>51</v>
      </c>
      <c r="F6" s="239" t="s">
        <v>52</v>
      </c>
      <c r="G6" s="239">
        <v>30064</v>
      </c>
      <c r="H6" s="240" t="s">
        <v>64</v>
      </c>
      <c r="I6" s="241" t="s">
        <v>65</v>
      </c>
      <c r="J6" s="242">
        <v>81480</v>
      </c>
      <c r="K6" s="58"/>
      <c r="L6" s="245">
        <v>2</v>
      </c>
      <c r="M6" s="246" t="s">
        <v>39</v>
      </c>
      <c r="N6" s="210"/>
      <c r="O6" s="210"/>
      <c r="P6" s="247" t="str">
        <f>VLOOKUP(COUNTA($B:$B)-1,$A$3:$J$104,L6,FALSE)</f>
        <v>Collins</v>
      </c>
      <c r="Q6" s="248"/>
      <c r="R6" s="248"/>
      <c r="S6" s="248"/>
      <c r="T6" s="248"/>
      <c r="U6" s="249"/>
      <c r="V6" s="250">
        <v>5</v>
      </c>
      <c r="W6" s="211" t="s">
        <v>42</v>
      </c>
      <c r="X6" s="210"/>
      <c r="Y6" s="391" t="str">
        <f>VLOOKUP(COUNTA($B:$B)-1,$A$3:$J$104,V6,FALSE)</f>
        <v>Norcross</v>
      </c>
      <c r="Z6" s="392"/>
      <c r="AA6" s="392"/>
      <c r="AB6" s="392"/>
      <c r="AC6" s="392"/>
      <c r="AD6" s="393"/>
      <c r="AE6" s="244"/>
      <c r="AF6" s="58"/>
      <c r="AG6" s="58"/>
    </row>
    <row r="7" spans="1:33" x14ac:dyDescent="0.25">
      <c r="A7" s="32">
        <v>4</v>
      </c>
      <c r="B7" s="238" t="s">
        <v>66</v>
      </c>
      <c r="C7" s="240" t="s">
        <v>67</v>
      </c>
      <c r="D7" s="238" t="s">
        <v>68</v>
      </c>
      <c r="E7" s="238" t="s">
        <v>51</v>
      </c>
      <c r="F7" s="239" t="s">
        <v>52</v>
      </c>
      <c r="G7" s="239">
        <v>30065</v>
      </c>
      <c r="H7" s="240" t="s">
        <v>69</v>
      </c>
      <c r="I7" s="241" t="s">
        <v>54</v>
      </c>
      <c r="J7" s="242">
        <v>202578</v>
      </c>
      <c r="K7" s="58"/>
      <c r="L7" s="245"/>
      <c r="M7" s="210"/>
      <c r="N7" s="210"/>
      <c r="O7" s="210"/>
      <c r="P7" s="210"/>
      <c r="Q7" s="210"/>
      <c r="R7" s="210"/>
      <c r="S7" s="210"/>
      <c r="T7" s="210"/>
      <c r="U7" s="210"/>
      <c r="V7" s="250"/>
      <c r="W7" s="210"/>
      <c r="X7" s="210"/>
      <c r="Y7" s="210"/>
      <c r="Z7" s="210"/>
      <c r="AA7" s="210"/>
      <c r="AB7" s="210"/>
      <c r="AC7" s="210"/>
      <c r="AD7" s="210"/>
      <c r="AE7" s="244"/>
      <c r="AF7" s="58"/>
      <c r="AG7" s="58"/>
    </row>
    <row r="8" spans="1:33" x14ac:dyDescent="0.25">
      <c r="A8" s="32">
        <v>5</v>
      </c>
      <c r="B8" s="240" t="s">
        <v>70</v>
      </c>
      <c r="C8" s="238" t="s">
        <v>71</v>
      </c>
      <c r="D8" s="238" t="s">
        <v>72</v>
      </c>
      <c r="E8" s="238" t="s">
        <v>51</v>
      </c>
      <c r="F8" s="239" t="s">
        <v>52</v>
      </c>
      <c r="G8" s="239">
        <v>30066</v>
      </c>
      <c r="H8" s="240" t="s">
        <v>73</v>
      </c>
      <c r="I8" s="241" t="s">
        <v>60</v>
      </c>
      <c r="J8" s="242">
        <v>177209</v>
      </c>
      <c r="K8" s="58"/>
      <c r="L8" s="245">
        <v>3</v>
      </c>
      <c r="M8" s="246" t="s">
        <v>40</v>
      </c>
      <c r="N8" s="210"/>
      <c r="O8" s="210"/>
      <c r="P8" s="247" t="str">
        <f>VLOOKUP(COUNTA($B:$B)-1,$A$3:$J$104,L8,FALSE)</f>
        <v>Carlton</v>
      </c>
      <c r="Q8" s="248"/>
      <c r="R8" s="248"/>
      <c r="S8" s="248"/>
      <c r="T8" s="248"/>
      <c r="U8" s="249"/>
      <c r="V8" s="250">
        <v>6</v>
      </c>
      <c r="W8" s="211" t="s">
        <v>43</v>
      </c>
      <c r="X8" s="210"/>
      <c r="Y8" s="391" t="str">
        <f>VLOOKUP(COUNTA($B:$B)-1,$A$3:$J$104,V8,FALSE)</f>
        <v xml:space="preserve">GA </v>
      </c>
      <c r="Z8" s="392"/>
      <c r="AA8" s="392"/>
      <c r="AB8" s="392"/>
      <c r="AC8" s="392"/>
      <c r="AD8" s="393"/>
      <c r="AE8" s="244"/>
      <c r="AF8" s="58"/>
      <c r="AG8" s="58"/>
    </row>
    <row r="9" spans="1:33" x14ac:dyDescent="0.25">
      <c r="A9" s="32">
        <v>6</v>
      </c>
      <c r="B9" s="238" t="s">
        <v>74</v>
      </c>
      <c r="C9" s="238" t="s">
        <v>75</v>
      </c>
      <c r="D9" s="238" t="s">
        <v>76</v>
      </c>
      <c r="E9" s="238" t="s">
        <v>77</v>
      </c>
      <c r="F9" s="239" t="s">
        <v>52</v>
      </c>
      <c r="G9" s="239">
        <v>30092</v>
      </c>
      <c r="H9" s="240" t="s">
        <v>78</v>
      </c>
      <c r="I9" s="241" t="s">
        <v>65</v>
      </c>
      <c r="J9" s="242">
        <v>212254.23</v>
      </c>
      <c r="K9" s="58"/>
      <c r="L9" s="245"/>
      <c r="M9" s="210"/>
      <c r="N9" s="210"/>
      <c r="O9" s="210"/>
      <c r="P9" s="210"/>
      <c r="Q9" s="210"/>
      <c r="R9" s="210"/>
      <c r="S9" s="210"/>
      <c r="T9" s="210"/>
      <c r="U9" s="210"/>
      <c r="V9" s="250"/>
      <c r="W9" s="210"/>
      <c r="X9" s="210"/>
      <c r="Y9" s="210"/>
      <c r="Z9" s="210"/>
      <c r="AA9" s="210"/>
      <c r="AB9" s="210"/>
      <c r="AC9" s="210"/>
      <c r="AD9" s="210"/>
      <c r="AE9" s="244"/>
      <c r="AF9" s="58"/>
      <c r="AG9" s="58"/>
    </row>
    <row r="10" spans="1:33" x14ac:dyDescent="0.25">
      <c r="A10" s="32">
        <v>7</v>
      </c>
      <c r="B10" s="238" t="s">
        <v>79</v>
      </c>
      <c r="C10" s="238" t="s">
        <v>80</v>
      </c>
      <c r="D10" s="238" t="s">
        <v>50</v>
      </c>
      <c r="E10" s="238" t="s">
        <v>81</v>
      </c>
      <c r="F10" s="239" t="s">
        <v>82</v>
      </c>
      <c r="G10" s="239">
        <v>30092</v>
      </c>
      <c r="H10" s="240" t="s">
        <v>53</v>
      </c>
      <c r="I10" s="241" t="s">
        <v>54</v>
      </c>
      <c r="J10" s="242">
        <v>124533.45</v>
      </c>
      <c r="K10" s="58"/>
      <c r="L10" s="245">
        <v>4</v>
      </c>
      <c r="M10" s="246" t="s">
        <v>41</v>
      </c>
      <c r="N10" s="210"/>
      <c r="O10" s="210"/>
      <c r="P10" s="247" t="str">
        <f>VLOOKUP(COUNTA($B:$B)-1,$A$3:$J$104,L10,FALSE)</f>
        <v>100 Peachtree Street</v>
      </c>
      <c r="Q10" s="248"/>
      <c r="R10" s="248"/>
      <c r="S10" s="248"/>
      <c r="T10" s="248"/>
      <c r="U10" s="249"/>
      <c r="V10" s="250">
        <v>7</v>
      </c>
      <c r="W10" s="211" t="s">
        <v>44</v>
      </c>
      <c r="X10" s="210"/>
      <c r="Y10" s="391">
        <f>VLOOKUP(COUNTA($B:$B)-1,$A$3:$J$104,V10,FALSE)</f>
        <v>30092</v>
      </c>
      <c r="Z10" s="392"/>
      <c r="AA10" s="392"/>
      <c r="AB10" s="392"/>
      <c r="AC10" s="392"/>
      <c r="AD10" s="393"/>
      <c r="AE10" s="244"/>
      <c r="AF10" s="58"/>
      <c r="AG10" s="58"/>
    </row>
    <row r="11" spans="1:33" x14ac:dyDescent="0.25">
      <c r="A11" s="32">
        <v>8</v>
      </c>
      <c r="B11" s="238"/>
      <c r="C11" s="238"/>
      <c r="D11" s="238"/>
      <c r="E11" s="238"/>
      <c r="F11" s="238"/>
      <c r="G11" s="238"/>
      <c r="H11" s="238"/>
      <c r="I11" s="239"/>
      <c r="J11" s="238"/>
      <c r="K11" s="58"/>
      <c r="L11" s="245"/>
      <c r="M11" s="210"/>
      <c r="N11" s="210"/>
      <c r="O11" s="210"/>
      <c r="P11" s="210"/>
      <c r="Q11" s="210"/>
      <c r="R11" s="210"/>
      <c r="S11" s="210"/>
      <c r="T11" s="210"/>
      <c r="U11" s="210"/>
      <c r="V11" s="250"/>
      <c r="W11" s="210"/>
      <c r="X11" s="210"/>
      <c r="Y11" s="210"/>
      <c r="Z11" s="210"/>
      <c r="AA11" s="210"/>
      <c r="AB11" s="210"/>
      <c r="AC11" s="210"/>
      <c r="AD11" s="210"/>
      <c r="AE11" s="244"/>
      <c r="AF11" s="58"/>
      <c r="AG11" s="58"/>
    </row>
    <row r="12" spans="1:33" x14ac:dyDescent="0.25">
      <c r="A12" s="32">
        <v>9</v>
      </c>
      <c r="B12" s="238"/>
      <c r="C12" s="238"/>
      <c r="D12" s="238"/>
      <c r="E12" s="238"/>
      <c r="F12" s="238"/>
      <c r="G12" s="238"/>
      <c r="H12" s="238"/>
      <c r="I12" s="239"/>
      <c r="J12" s="238"/>
      <c r="K12" s="58"/>
      <c r="L12" s="245">
        <v>8</v>
      </c>
      <c r="M12" s="211" t="s">
        <v>45</v>
      </c>
      <c r="N12" s="210"/>
      <c r="O12" s="210"/>
      <c r="P12" s="391" t="str">
        <f>VLOOKUP(COUNTA($B:$B)-1,$A$3:$J$104,L12,FALSE)</f>
        <v>770.842.5902</v>
      </c>
      <c r="Q12" s="392"/>
      <c r="R12" s="392"/>
      <c r="S12" s="392"/>
      <c r="T12" s="392"/>
      <c r="U12" s="393"/>
      <c r="V12" s="250">
        <v>9</v>
      </c>
      <c r="W12" s="214" t="s">
        <v>99</v>
      </c>
      <c r="X12" s="210"/>
      <c r="Y12" s="391" t="str">
        <f>VLOOKUP(COUNTA($B:$B)-1,$A$3:$J$104,V12,FALSE)</f>
        <v>Plan A</v>
      </c>
      <c r="Z12" s="392"/>
      <c r="AA12" s="392"/>
      <c r="AB12" s="392"/>
      <c r="AC12" s="392"/>
      <c r="AD12" s="393"/>
      <c r="AE12" s="244"/>
      <c r="AF12" s="58"/>
      <c r="AG12" s="58"/>
    </row>
    <row r="13" spans="1:33" x14ac:dyDescent="0.25">
      <c r="A13" s="32">
        <v>10</v>
      </c>
      <c r="B13" s="238"/>
      <c r="C13" s="238"/>
      <c r="D13" s="238"/>
      <c r="E13" s="238"/>
      <c r="F13" s="238"/>
      <c r="G13" s="238"/>
      <c r="H13" s="238"/>
      <c r="I13" s="239"/>
      <c r="J13" s="238"/>
      <c r="K13" s="58"/>
      <c r="L13" s="245"/>
      <c r="M13" s="210"/>
      <c r="N13" s="210"/>
      <c r="O13" s="210"/>
      <c r="P13" s="210"/>
      <c r="Q13" s="210"/>
      <c r="R13" s="210"/>
      <c r="S13" s="210"/>
      <c r="T13" s="210"/>
      <c r="U13" s="210"/>
      <c r="V13" s="210"/>
      <c r="W13" s="210"/>
      <c r="X13" s="210"/>
      <c r="Y13" s="210"/>
      <c r="Z13" s="210"/>
      <c r="AA13" s="210"/>
      <c r="AB13" s="210"/>
      <c r="AC13" s="210"/>
      <c r="AD13" s="210"/>
      <c r="AE13" s="244"/>
      <c r="AF13" s="58"/>
      <c r="AG13" s="58"/>
    </row>
    <row r="14" spans="1:33" x14ac:dyDescent="0.25">
      <c r="A14" s="32">
        <v>11</v>
      </c>
      <c r="B14" s="238"/>
      <c r="C14" s="238"/>
      <c r="D14" s="238"/>
      <c r="E14" s="238"/>
      <c r="F14" s="238"/>
      <c r="G14" s="238"/>
      <c r="H14" s="238"/>
      <c r="I14" s="239"/>
      <c r="J14" s="238"/>
      <c r="K14" s="58"/>
      <c r="L14" s="245">
        <v>10</v>
      </c>
      <c r="M14" s="211" t="s">
        <v>90</v>
      </c>
      <c r="N14" s="210"/>
      <c r="O14" s="210"/>
      <c r="P14" s="210"/>
      <c r="Q14" s="210"/>
      <c r="R14" s="210"/>
      <c r="S14" s="210"/>
      <c r="T14" s="210"/>
      <c r="U14" s="210"/>
      <c r="V14" s="210"/>
      <c r="W14" s="210"/>
      <c r="X14" s="210"/>
      <c r="Y14" s="382">
        <f>VLOOKUP(COUNTA($B:$B)-1,$A$3:$J$104,L14,FALSE)</f>
        <v>124533.45</v>
      </c>
      <c r="Z14" s="383"/>
      <c r="AA14" s="383"/>
      <c r="AB14" s="383"/>
      <c r="AC14" s="383"/>
      <c r="AD14" s="384"/>
      <c r="AE14" s="244"/>
      <c r="AF14" s="58"/>
      <c r="AG14" s="58"/>
    </row>
    <row r="15" spans="1:33" x14ac:dyDescent="0.25">
      <c r="A15" s="32">
        <v>12</v>
      </c>
      <c r="B15" s="238"/>
      <c r="C15" s="238"/>
      <c r="D15" s="238"/>
      <c r="E15" s="238"/>
      <c r="F15" s="238"/>
      <c r="G15" s="238"/>
      <c r="H15" s="238"/>
      <c r="I15" s="239"/>
      <c r="J15" s="238"/>
      <c r="K15" s="58"/>
      <c r="L15" s="243"/>
      <c r="M15" s="210"/>
      <c r="N15" s="210"/>
      <c r="O15" s="210"/>
      <c r="P15" s="210"/>
      <c r="Q15" s="210"/>
      <c r="R15" s="210"/>
      <c r="S15" s="210"/>
      <c r="T15" s="210"/>
      <c r="U15" s="210"/>
      <c r="V15" s="210"/>
      <c r="W15" s="210"/>
      <c r="X15" s="210"/>
      <c r="Y15" s="210"/>
      <c r="Z15" s="210"/>
      <c r="AA15" s="210"/>
      <c r="AB15" s="210"/>
      <c r="AC15" s="210"/>
      <c r="AD15" s="210"/>
      <c r="AE15" s="244"/>
      <c r="AF15" s="58"/>
      <c r="AG15" s="58"/>
    </row>
    <row r="16" spans="1:33" x14ac:dyDescent="0.25">
      <c r="A16" s="32">
        <v>13</v>
      </c>
      <c r="B16" s="238"/>
      <c r="C16" s="238"/>
      <c r="D16" s="238"/>
      <c r="E16" s="238"/>
      <c r="F16" s="238"/>
      <c r="G16" s="238"/>
      <c r="H16" s="238"/>
      <c r="I16" s="239"/>
      <c r="J16" s="238"/>
      <c r="K16" s="58"/>
      <c r="L16" s="385" t="s">
        <v>91</v>
      </c>
      <c r="M16" s="386"/>
      <c r="N16" s="386"/>
      <c r="O16" s="386"/>
      <c r="P16" s="386"/>
      <c r="Q16" s="386"/>
      <c r="R16" s="386"/>
      <c r="S16" s="386"/>
      <c r="T16" s="386"/>
      <c r="U16" s="386"/>
      <c r="V16" s="386"/>
      <c r="W16" s="386"/>
      <c r="X16" s="386"/>
      <c r="Y16" s="386"/>
      <c r="Z16" s="386"/>
      <c r="AA16" s="386"/>
      <c r="AB16" s="386"/>
      <c r="AC16" s="386"/>
      <c r="AD16" s="386"/>
      <c r="AE16" s="387"/>
      <c r="AF16" s="58"/>
      <c r="AG16" s="58"/>
    </row>
    <row r="17" spans="1:33" ht="16.5" thickBot="1" x14ac:dyDescent="0.3">
      <c r="A17" s="32">
        <v>14</v>
      </c>
      <c r="B17" s="238"/>
      <c r="C17" s="238"/>
      <c r="D17" s="238"/>
      <c r="E17" s="238"/>
      <c r="F17" s="238"/>
      <c r="G17" s="238"/>
      <c r="H17" s="238"/>
      <c r="I17" s="239"/>
      <c r="J17" s="238"/>
      <c r="K17" s="58"/>
      <c r="L17" s="251"/>
      <c r="M17" s="252"/>
      <c r="N17" s="252"/>
      <c r="O17" s="252"/>
      <c r="P17" s="252"/>
      <c r="Q17" s="252"/>
      <c r="R17" s="252"/>
      <c r="S17" s="252"/>
      <c r="T17" s="252"/>
      <c r="U17" s="252"/>
      <c r="V17" s="252"/>
      <c r="W17" s="252"/>
      <c r="X17" s="252"/>
      <c r="Y17" s="252"/>
      <c r="Z17" s="252"/>
      <c r="AA17" s="252"/>
      <c r="AB17" s="252"/>
      <c r="AC17" s="252"/>
      <c r="AD17" s="252"/>
      <c r="AE17" s="253"/>
      <c r="AF17" s="58"/>
      <c r="AG17" s="58"/>
    </row>
    <row r="18" spans="1:33" x14ac:dyDescent="0.25">
      <c r="A18" s="32">
        <v>15</v>
      </c>
      <c r="B18" s="238"/>
      <c r="C18" s="238"/>
      <c r="D18" s="238"/>
      <c r="E18" s="238"/>
      <c r="F18" s="238"/>
      <c r="G18" s="238"/>
      <c r="H18" s="238"/>
      <c r="I18" s="239"/>
      <c r="J18" s="238"/>
      <c r="K18" s="58"/>
      <c r="L18" s="58"/>
      <c r="M18" s="58"/>
      <c r="N18" s="58"/>
      <c r="O18" s="58"/>
      <c r="P18" s="58"/>
      <c r="Q18" s="58"/>
      <c r="R18" s="58"/>
      <c r="S18" s="58"/>
      <c r="T18" s="58"/>
      <c r="U18" s="58"/>
      <c r="V18" s="58"/>
      <c r="W18" s="58"/>
      <c r="X18" s="58"/>
      <c r="Y18" s="58"/>
      <c r="Z18" s="58"/>
      <c r="AA18" s="58"/>
      <c r="AB18" s="58"/>
      <c r="AC18" s="58"/>
      <c r="AD18" s="58"/>
      <c r="AE18" s="58"/>
      <c r="AF18" s="58"/>
      <c r="AG18" s="58"/>
    </row>
    <row r="19" spans="1:33" x14ac:dyDescent="0.25">
      <c r="A19" s="32">
        <v>16</v>
      </c>
      <c r="B19" s="238"/>
      <c r="C19" s="238"/>
      <c r="D19" s="238"/>
      <c r="E19" s="238"/>
      <c r="F19" s="238"/>
      <c r="G19" s="238"/>
      <c r="H19" s="238"/>
      <c r="I19" s="239"/>
      <c r="J19" s="238"/>
      <c r="K19" s="58"/>
      <c r="L19" s="58"/>
      <c r="M19" s="58"/>
      <c r="N19" s="58"/>
      <c r="O19" s="58"/>
      <c r="P19" s="58"/>
      <c r="Q19" s="58"/>
      <c r="R19" s="58"/>
      <c r="S19" s="58"/>
      <c r="T19" s="58"/>
      <c r="U19" s="58"/>
      <c r="V19" s="58"/>
      <c r="W19" s="58"/>
      <c r="X19" s="58"/>
      <c r="Y19" s="58"/>
      <c r="Z19" s="58"/>
      <c r="AA19" s="58"/>
      <c r="AB19" s="58"/>
      <c r="AC19" s="58"/>
      <c r="AD19" s="58"/>
      <c r="AE19" s="58"/>
      <c r="AF19" s="58"/>
      <c r="AG19" s="58"/>
    </row>
    <row r="20" spans="1:33" x14ac:dyDescent="0.25">
      <c r="A20" s="32">
        <v>17</v>
      </c>
      <c r="B20" s="238"/>
      <c r="C20" s="238"/>
      <c r="D20" s="238"/>
      <c r="E20" s="238"/>
      <c r="F20" s="238"/>
      <c r="G20" s="238"/>
      <c r="H20" s="238"/>
      <c r="I20" s="239"/>
      <c r="J20" s="238"/>
      <c r="K20" s="58"/>
      <c r="L20" s="58"/>
      <c r="M20" s="58"/>
      <c r="N20" s="58"/>
      <c r="O20" s="58"/>
      <c r="P20" s="58"/>
      <c r="Q20" s="58"/>
      <c r="R20" s="58"/>
      <c r="S20" s="58"/>
      <c r="T20" s="58"/>
      <c r="U20" s="58"/>
      <c r="V20" s="58"/>
      <c r="W20" s="58"/>
      <c r="X20" s="58"/>
      <c r="Y20" s="58"/>
      <c r="Z20" s="58"/>
      <c r="AA20" s="58"/>
      <c r="AB20" s="58"/>
      <c r="AC20" s="58"/>
      <c r="AD20" s="58"/>
      <c r="AE20" s="58"/>
      <c r="AF20" s="58"/>
      <c r="AG20" s="58"/>
    </row>
    <row r="21" spans="1:33" x14ac:dyDescent="0.25">
      <c r="A21" s="32">
        <v>18</v>
      </c>
      <c r="B21" s="238"/>
      <c r="C21" s="238"/>
      <c r="D21" s="238"/>
      <c r="E21" s="238"/>
      <c r="F21" s="238"/>
      <c r="G21" s="238"/>
      <c r="H21" s="238"/>
      <c r="I21" s="239"/>
      <c r="J21" s="238"/>
      <c r="K21" s="58"/>
      <c r="L21" s="58"/>
      <c r="M21" s="58"/>
      <c r="N21" s="58"/>
      <c r="O21" s="58"/>
      <c r="P21" s="58"/>
      <c r="Q21" s="58"/>
      <c r="R21" s="58"/>
      <c r="S21" s="58"/>
      <c r="T21" s="58"/>
      <c r="U21" s="58"/>
      <c r="V21" s="58"/>
      <c r="W21" s="58"/>
      <c r="X21" s="58"/>
      <c r="Y21" s="58"/>
      <c r="Z21" s="58"/>
      <c r="AA21" s="58"/>
      <c r="AB21" s="58"/>
      <c r="AC21" s="58"/>
      <c r="AD21" s="58"/>
      <c r="AE21" s="58"/>
      <c r="AF21" s="58"/>
      <c r="AG21" s="58"/>
    </row>
    <row r="22" spans="1:33" x14ac:dyDescent="0.25">
      <c r="A22" s="32">
        <v>19</v>
      </c>
      <c r="B22" s="238"/>
      <c r="C22" s="238"/>
      <c r="D22" s="238"/>
      <c r="E22" s="238"/>
      <c r="F22" s="238"/>
      <c r="G22" s="238"/>
      <c r="H22" s="238"/>
      <c r="I22" s="239"/>
      <c r="J22" s="238"/>
      <c r="K22" s="58"/>
      <c r="L22" s="58"/>
      <c r="M22" s="58"/>
      <c r="N22" s="58"/>
      <c r="O22" s="58"/>
      <c r="P22" s="58"/>
      <c r="Q22" s="58"/>
      <c r="R22" s="58"/>
      <c r="S22" s="58"/>
      <c r="T22" s="58"/>
      <c r="U22" s="58"/>
      <c r="V22" s="58"/>
      <c r="W22" s="58"/>
      <c r="X22" s="58"/>
      <c r="Y22" s="58"/>
      <c r="Z22" s="58"/>
      <c r="AA22" s="58"/>
      <c r="AB22" s="58"/>
      <c r="AC22" s="58"/>
      <c r="AD22" s="58"/>
      <c r="AE22" s="58"/>
      <c r="AF22" s="58"/>
      <c r="AG22" s="58"/>
    </row>
    <row r="23" spans="1:33" x14ac:dyDescent="0.25">
      <c r="A23" s="32">
        <v>20</v>
      </c>
      <c r="B23" s="238"/>
      <c r="C23" s="238"/>
      <c r="D23" s="238"/>
      <c r="E23" s="238"/>
      <c r="F23" s="238"/>
      <c r="G23" s="238"/>
      <c r="H23" s="238"/>
      <c r="I23" s="239"/>
      <c r="J23" s="238"/>
      <c r="K23" s="58"/>
      <c r="L23" s="58"/>
      <c r="M23" s="58"/>
      <c r="N23" s="58"/>
      <c r="O23" s="58"/>
      <c r="P23" s="58"/>
      <c r="Q23" s="58"/>
      <c r="R23" s="58"/>
      <c r="S23" s="58"/>
      <c r="T23" s="58"/>
      <c r="U23" s="58"/>
      <c r="V23" s="58"/>
      <c r="W23" s="58"/>
      <c r="X23" s="58"/>
      <c r="Y23" s="58"/>
      <c r="Z23" s="58"/>
      <c r="AA23" s="58"/>
      <c r="AB23" s="58"/>
      <c r="AC23" s="58"/>
      <c r="AD23" s="58"/>
      <c r="AE23" s="58"/>
      <c r="AF23" s="58"/>
      <c r="AG23" s="58"/>
    </row>
    <row r="24" spans="1:33" x14ac:dyDescent="0.25">
      <c r="A24" s="32">
        <v>21</v>
      </c>
      <c r="B24" s="238"/>
      <c r="C24" s="238"/>
      <c r="D24" s="238"/>
      <c r="E24" s="238"/>
      <c r="F24" s="238"/>
      <c r="G24" s="238"/>
      <c r="H24" s="238"/>
      <c r="I24" s="239"/>
      <c r="J24" s="238"/>
      <c r="K24" s="58"/>
      <c r="L24" s="58"/>
      <c r="M24" s="58"/>
      <c r="N24" s="58"/>
      <c r="O24" s="58"/>
      <c r="P24" s="58"/>
      <c r="Q24" s="58"/>
      <c r="R24" s="58"/>
      <c r="S24" s="58"/>
      <c r="T24" s="58"/>
      <c r="U24" s="58"/>
      <c r="V24" s="58"/>
      <c r="W24" s="58"/>
      <c r="X24" s="58"/>
      <c r="Y24" s="58"/>
      <c r="Z24" s="58"/>
      <c r="AA24" s="58"/>
      <c r="AB24" s="58"/>
      <c r="AC24" s="58"/>
      <c r="AD24" s="58"/>
      <c r="AE24" s="58"/>
      <c r="AF24" s="58"/>
      <c r="AG24" s="58"/>
    </row>
    <row r="25" spans="1:33" x14ac:dyDescent="0.25">
      <c r="A25" s="32">
        <v>22</v>
      </c>
      <c r="B25" s="238"/>
      <c r="C25" s="238"/>
      <c r="D25" s="238"/>
      <c r="E25" s="238"/>
      <c r="F25" s="238"/>
      <c r="G25" s="238"/>
      <c r="H25" s="238"/>
      <c r="I25" s="239"/>
      <c r="J25" s="238"/>
      <c r="K25" s="58"/>
      <c r="L25" s="58"/>
      <c r="M25" s="58"/>
      <c r="N25" s="58"/>
      <c r="O25" s="58"/>
      <c r="P25" s="58"/>
      <c r="Q25" s="58"/>
      <c r="R25" s="58"/>
      <c r="S25" s="58"/>
      <c r="T25" s="58"/>
      <c r="U25" s="58"/>
      <c r="V25" s="58"/>
      <c r="W25" s="58"/>
      <c r="X25" s="58"/>
      <c r="Y25" s="58"/>
      <c r="Z25" s="58"/>
      <c r="AA25" s="58"/>
      <c r="AB25" s="58"/>
      <c r="AC25" s="58"/>
      <c r="AD25" s="58"/>
      <c r="AE25" s="58"/>
      <c r="AF25" s="58"/>
      <c r="AG25" s="58"/>
    </row>
    <row r="26" spans="1:33" x14ac:dyDescent="0.25">
      <c r="A26" s="32">
        <v>23</v>
      </c>
      <c r="B26" s="238"/>
      <c r="C26" s="238"/>
      <c r="D26" s="238"/>
      <c r="E26" s="238"/>
      <c r="F26" s="238"/>
      <c r="G26" s="238"/>
      <c r="H26" s="238"/>
      <c r="I26" s="239"/>
      <c r="J26" s="238"/>
      <c r="K26" s="58"/>
      <c r="L26" s="58"/>
      <c r="M26" s="58"/>
      <c r="N26" s="58"/>
      <c r="O26" s="58"/>
      <c r="P26" s="58"/>
      <c r="Q26" s="58"/>
      <c r="R26" s="58"/>
      <c r="S26" s="58"/>
      <c r="T26" s="58"/>
      <c r="U26" s="58"/>
      <c r="V26" s="58"/>
      <c r="W26" s="58"/>
      <c r="X26" s="58"/>
      <c r="Y26" s="58"/>
      <c r="Z26" s="58"/>
      <c r="AA26" s="58"/>
      <c r="AB26" s="58"/>
      <c r="AC26" s="58"/>
      <c r="AD26" s="58"/>
      <c r="AE26" s="58"/>
      <c r="AF26" s="58"/>
      <c r="AG26" s="58"/>
    </row>
    <row r="27" spans="1:33" x14ac:dyDescent="0.25">
      <c r="A27" s="32">
        <v>24</v>
      </c>
      <c r="B27" s="238"/>
      <c r="C27" s="238"/>
      <c r="D27" s="238"/>
      <c r="E27" s="238"/>
      <c r="F27" s="238"/>
      <c r="G27" s="238"/>
      <c r="H27" s="238"/>
      <c r="I27" s="239"/>
      <c r="J27" s="238"/>
      <c r="K27" s="58"/>
      <c r="L27" s="58"/>
      <c r="M27" s="58"/>
      <c r="N27" s="58"/>
      <c r="O27" s="58"/>
      <c r="P27" s="58"/>
      <c r="Q27" s="58"/>
      <c r="R27" s="58"/>
      <c r="S27" s="58"/>
      <c r="T27" s="58"/>
      <c r="U27" s="58"/>
      <c r="V27" s="58"/>
      <c r="W27" s="58"/>
      <c r="X27" s="58"/>
      <c r="Y27" s="58"/>
      <c r="Z27" s="58"/>
      <c r="AA27" s="58"/>
      <c r="AB27" s="58"/>
      <c r="AC27" s="58"/>
      <c r="AD27" s="58"/>
      <c r="AE27" s="58"/>
      <c r="AF27" s="58"/>
      <c r="AG27" s="58"/>
    </row>
    <row r="28" spans="1:33" x14ac:dyDescent="0.25">
      <c r="A28" s="32">
        <v>25</v>
      </c>
      <c r="B28" s="238"/>
      <c r="C28" s="238"/>
      <c r="D28" s="238"/>
      <c r="E28" s="238"/>
      <c r="F28" s="238"/>
      <c r="G28" s="238"/>
      <c r="H28" s="238"/>
      <c r="I28" s="239"/>
      <c r="J28" s="238"/>
      <c r="K28" s="58"/>
      <c r="L28" s="58"/>
      <c r="M28" s="58"/>
      <c r="N28" s="58"/>
      <c r="O28" s="58"/>
      <c r="P28" s="58"/>
      <c r="Q28" s="58"/>
      <c r="R28" s="58"/>
      <c r="S28" s="58"/>
      <c r="T28" s="58"/>
      <c r="U28" s="58"/>
      <c r="V28" s="58"/>
      <c r="W28" s="58"/>
      <c r="X28" s="58"/>
      <c r="Y28" s="58"/>
      <c r="Z28" s="58"/>
      <c r="AA28" s="58"/>
      <c r="AB28" s="58"/>
      <c r="AC28" s="58"/>
      <c r="AD28" s="58"/>
      <c r="AE28" s="58"/>
      <c r="AF28" s="58"/>
      <c r="AG28" s="58"/>
    </row>
  </sheetData>
  <mergeCells count="8">
    <mergeCell ref="Y14:AD14"/>
    <mergeCell ref="L16:AE16"/>
    <mergeCell ref="L4:AE4"/>
    <mergeCell ref="Y6:AD6"/>
    <mergeCell ref="Y8:AD8"/>
    <mergeCell ref="Y10:AD10"/>
    <mergeCell ref="P12:U12"/>
    <mergeCell ref="Y12:AD12"/>
  </mergeCells>
  <pageMargins left="0.7" right="0.7" top="0.75" bottom="0.75" header="0.3" footer="0.3"/>
  <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dimension ref="A1:AG29"/>
  <sheetViews>
    <sheetView showGridLines="0" workbookViewId="0">
      <selection activeCell="Q1" sqref="Q1"/>
    </sheetView>
  </sheetViews>
  <sheetFormatPr defaultRowHeight="15.75" x14ac:dyDescent="0.25"/>
  <cols>
    <col min="1" max="1" width="7.875" bestFit="1" customWidth="1"/>
    <col min="2" max="3" width="10" bestFit="1" customWidth="1"/>
    <col min="4" max="4" width="19" bestFit="1" customWidth="1"/>
    <col min="5" max="5" width="8.375" bestFit="1" customWidth="1"/>
    <col min="6" max="6" width="5.375" bestFit="1" customWidth="1"/>
    <col min="7" max="7" width="5.875" bestFit="1" customWidth="1"/>
    <col min="8" max="8" width="11.875" bestFit="1" customWidth="1"/>
    <col min="9" max="9" width="11.875" customWidth="1"/>
    <col min="10" max="10" width="12.125" bestFit="1" customWidth="1"/>
    <col min="11" max="11" width="3.75" customWidth="1"/>
    <col min="12" max="31" width="3.625" customWidth="1"/>
    <col min="32" max="32" width="3" customWidth="1"/>
  </cols>
  <sheetData>
    <row r="1" spans="1:33" x14ac:dyDescent="0.25">
      <c r="A1" s="16"/>
      <c r="B1" s="16"/>
      <c r="C1" s="16"/>
      <c r="D1" s="16"/>
      <c r="E1" s="16"/>
      <c r="F1" s="16"/>
      <c r="G1" s="16"/>
      <c r="H1" s="16"/>
      <c r="I1" s="16"/>
      <c r="J1" s="16"/>
      <c r="K1" s="16"/>
      <c r="L1" s="16"/>
      <c r="M1" s="16"/>
      <c r="N1" s="16"/>
      <c r="O1" s="16"/>
      <c r="P1" s="16"/>
      <c r="Q1" s="16"/>
      <c r="R1" s="16"/>
      <c r="S1" s="17">
        <f t="shared" ref="S1:AB1" si="0">VLOOKUP(MAX($A$3:$A$147),$A$3:$H$147,2)</f>
        <v>0</v>
      </c>
      <c r="T1" s="17">
        <f t="shared" si="0"/>
        <v>0</v>
      </c>
      <c r="U1" s="17">
        <f t="shared" si="0"/>
        <v>0</v>
      </c>
      <c r="V1" s="17">
        <f t="shared" si="0"/>
        <v>0</v>
      </c>
      <c r="W1" s="17">
        <f t="shared" si="0"/>
        <v>0</v>
      </c>
      <c r="X1" s="17">
        <f t="shared" si="0"/>
        <v>0</v>
      </c>
      <c r="Y1" s="17">
        <f t="shared" si="0"/>
        <v>0</v>
      </c>
      <c r="Z1" s="17">
        <f t="shared" si="0"/>
        <v>0</v>
      </c>
      <c r="AA1" s="17">
        <f t="shared" si="0"/>
        <v>0</v>
      </c>
      <c r="AB1" s="17">
        <f t="shared" si="0"/>
        <v>0</v>
      </c>
      <c r="AC1" s="226"/>
      <c r="AD1" s="226"/>
      <c r="AE1" s="226"/>
      <c r="AF1" s="226"/>
      <c r="AG1" s="226"/>
    </row>
    <row r="2" spans="1:33" ht="16.5" thickBot="1" x14ac:dyDescent="0.3">
      <c r="A2" s="19"/>
      <c r="B2" s="227"/>
      <c r="C2" s="227"/>
      <c r="D2" s="227"/>
      <c r="E2" s="227"/>
      <c r="F2" s="227"/>
      <c r="G2" s="227"/>
      <c r="H2" s="227"/>
      <c r="I2" s="66"/>
      <c r="J2" s="227"/>
      <c r="K2" s="58"/>
      <c r="L2" s="58"/>
      <c r="M2" s="58"/>
      <c r="N2" s="58"/>
      <c r="O2" s="58"/>
      <c r="P2" s="58"/>
      <c r="Q2" s="58"/>
      <c r="R2" s="58"/>
      <c r="S2" s="58"/>
      <c r="T2" s="58"/>
      <c r="U2" s="58"/>
      <c r="V2" s="58"/>
      <c r="W2" s="58"/>
      <c r="X2" s="58"/>
      <c r="Y2" s="58"/>
      <c r="Z2" s="58"/>
      <c r="AA2" s="58"/>
      <c r="AB2" s="58"/>
      <c r="AC2" s="58"/>
      <c r="AD2" s="58"/>
      <c r="AE2" s="58"/>
      <c r="AF2" s="58"/>
      <c r="AG2" s="58"/>
    </row>
    <row r="3" spans="1:33" x14ac:dyDescent="0.25">
      <c r="A3" s="228" t="s">
        <v>38</v>
      </c>
      <c r="B3" s="229" t="s">
        <v>39</v>
      </c>
      <c r="C3" s="229" t="s">
        <v>40</v>
      </c>
      <c r="D3" s="229" t="s">
        <v>41</v>
      </c>
      <c r="E3" s="228" t="s">
        <v>42</v>
      </c>
      <c r="F3" s="228" t="s">
        <v>43</v>
      </c>
      <c r="G3" s="228" t="s">
        <v>44</v>
      </c>
      <c r="H3" s="228" t="s">
        <v>45</v>
      </c>
      <c r="I3" s="228" t="s">
        <v>46</v>
      </c>
      <c r="J3" s="228" t="s">
        <v>47</v>
      </c>
      <c r="K3" s="58"/>
      <c r="L3" s="230"/>
      <c r="M3" s="231"/>
      <c r="N3" s="231"/>
      <c r="O3" s="231"/>
      <c r="P3" s="231"/>
      <c r="Q3" s="231"/>
      <c r="R3" s="231"/>
      <c r="S3" s="231"/>
      <c r="T3" s="231"/>
      <c r="U3" s="231"/>
      <c r="V3" s="231"/>
      <c r="W3" s="231"/>
      <c r="X3" s="231"/>
      <c r="Y3" s="231"/>
      <c r="Z3" s="231"/>
      <c r="AA3" s="231"/>
      <c r="AB3" s="231"/>
      <c r="AC3" s="231"/>
      <c r="AD3" s="231"/>
      <c r="AE3" s="232"/>
      <c r="AF3" s="58"/>
      <c r="AG3" s="58"/>
    </row>
    <row r="4" spans="1:33" x14ac:dyDescent="0.25">
      <c r="A4" s="32">
        <v>1</v>
      </c>
      <c r="B4" s="233" t="s">
        <v>48</v>
      </c>
      <c r="C4" s="234" t="s">
        <v>49</v>
      </c>
      <c r="D4" s="234" t="s">
        <v>50</v>
      </c>
      <c r="E4" s="234" t="s">
        <v>51</v>
      </c>
      <c r="F4" s="235" t="s">
        <v>52</v>
      </c>
      <c r="G4" s="235">
        <v>30062</v>
      </c>
      <c r="H4" s="233" t="s">
        <v>53</v>
      </c>
      <c r="I4" s="236" t="s">
        <v>54</v>
      </c>
      <c r="J4" s="237">
        <v>157665</v>
      </c>
      <c r="K4" s="58"/>
      <c r="L4" s="388" t="s">
        <v>55</v>
      </c>
      <c r="M4" s="389"/>
      <c r="N4" s="389"/>
      <c r="O4" s="389"/>
      <c r="P4" s="389"/>
      <c r="Q4" s="389"/>
      <c r="R4" s="389"/>
      <c r="S4" s="389"/>
      <c r="T4" s="389"/>
      <c r="U4" s="389"/>
      <c r="V4" s="389"/>
      <c r="W4" s="389"/>
      <c r="X4" s="389"/>
      <c r="Y4" s="389"/>
      <c r="Z4" s="389"/>
      <c r="AA4" s="389"/>
      <c r="AB4" s="389"/>
      <c r="AC4" s="389"/>
      <c r="AD4" s="389"/>
      <c r="AE4" s="390"/>
      <c r="AF4" s="58"/>
      <c r="AG4" s="58"/>
    </row>
    <row r="5" spans="1:33" x14ac:dyDescent="0.25">
      <c r="A5" s="32">
        <v>2</v>
      </c>
      <c r="B5" s="238" t="s">
        <v>56</v>
      </c>
      <c r="C5" s="238" t="s">
        <v>57</v>
      </c>
      <c r="D5" s="238" t="s">
        <v>58</v>
      </c>
      <c r="E5" s="238" t="s">
        <v>51</v>
      </c>
      <c r="F5" s="239" t="s">
        <v>52</v>
      </c>
      <c r="G5" s="239">
        <v>30063</v>
      </c>
      <c r="H5" s="240" t="s">
        <v>59</v>
      </c>
      <c r="I5" s="241" t="s">
        <v>60</v>
      </c>
      <c r="J5" s="242">
        <v>156340</v>
      </c>
      <c r="K5" s="58"/>
      <c r="L5" s="243"/>
      <c r="M5" s="210"/>
      <c r="N5" s="210"/>
      <c r="O5" s="210"/>
      <c r="P5" s="210"/>
      <c r="Q5" s="210"/>
      <c r="R5" s="210"/>
      <c r="S5" s="210"/>
      <c r="T5" s="210"/>
      <c r="U5" s="210"/>
      <c r="V5" s="210"/>
      <c r="W5" s="210"/>
      <c r="X5" s="210"/>
      <c r="Y5" s="210"/>
      <c r="Z5" s="210"/>
      <c r="AA5" s="210"/>
      <c r="AB5" s="210"/>
      <c r="AC5" s="210"/>
      <c r="AD5" s="210"/>
      <c r="AE5" s="244"/>
      <c r="AF5" s="58"/>
      <c r="AG5" s="58"/>
    </row>
    <row r="6" spans="1:33" x14ac:dyDescent="0.25">
      <c r="A6" s="32">
        <v>3</v>
      </c>
      <c r="B6" s="238" t="s">
        <v>61</v>
      </c>
      <c r="C6" s="240" t="s">
        <v>62</v>
      </c>
      <c r="D6" s="238" t="s">
        <v>63</v>
      </c>
      <c r="E6" s="238" t="s">
        <v>51</v>
      </c>
      <c r="F6" s="239" t="s">
        <v>52</v>
      </c>
      <c r="G6" s="239">
        <v>30064</v>
      </c>
      <c r="H6" s="240" t="s">
        <v>64</v>
      </c>
      <c r="I6" s="241" t="s">
        <v>65</v>
      </c>
      <c r="J6" s="242">
        <v>81480</v>
      </c>
      <c r="K6" s="58"/>
      <c r="L6" s="243"/>
      <c r="M6" s="246" t="s">
        <v>39</v>
      </c>
      <c r="N6" s="210"/>
      <c r="O6" s="210"/>
      <c r="P6" s="247" t="str">
        <f ca="1">INDIRECT("B"&amp;COUNTA($B:$B)+2)</f>
        <v>Collins</v>
      </c>
      <c r="Q6" s="248"/>
      <c r="R6" s="248"/>
      <c r="S6" s="248"/>
      <c r="T6" s="248"/>
      <c r="U6" s="249"/>
      <c r="V6" s="210"/>
      <c r="W6" s="211" t="s">
        <v>42</v>
      </c>
      <c r="X6" s="210"/>
      <c r="Y6" s="247" t="str">
        <f ca="1">INDIRECT("E"&amp;COUNTA($B:$B)+2)</f>
        <v>Norcross</v>
      </c>
      <c r="Z6" s="248"/>
      <c r="AA6" s="248"/>
      <c r="AB6" s="248"/>
      <c r="AC6" s="248"/>
      <c r="AD6" s="249"/>
      <c r="AE6" s="244"/>
      <c r="AF6" s="58"/>
      <c r="AG6" s="58"/>
    </row>
    <row r="7" spans="1:33" x14ac:dyDescent="0.25">
      <c r="A7" s="32">
        <v>4</v>
      </c>
      <c r="B7" s="238" t="s">
        <v>66</v>
      </c>
      <c r="C7" s="240" t="s">
        <v>67</v>
      </c>
      <c r="D7" s="238" t="s">
        <v>68</v>
      </c>
      <c r="E7" s="238" t="s">
        <v>51</v>
      </c>
      <c r="F7" s="239" t="s">
        <v>52</v>
      </c>
      <c r="G7" s="239">
        <v>30065</v>
      </c>
      <c r="H7" s="240" t="s">
        <v>69</v>
      </c>
      <c r="I7" s="241" t="s">
        <v>54</v>
      </c>
      <c r="J7" s="242">
        <v>202578</v>
      </c>
      <c r="K7" s="58"/>
      <c r="L7" s="243"/>
      <c r="M7" s="210"/>
      <c r="N7" s="210"/>
      <c r="O7" s="210"/>
      <c r="P7" s="210"/>
      <c r="Q7" s="210"/>
      <c r="R7" s="210"/>
      <c r="S7" s="210"/>
      <c r="T7" s="210"/>
      <c r="U7" s="210"/>
      <c r="V7" s="210"/>
      <c r="W7" s="210"/>
      <c r="X7" s="210"/>
      <c r="Y7" s="210"/>
      <c r="Z7" s="210"/>
      <c r="AA7" s="210"/>
      <c r="AB7" s="210"/>
      <c r="AC7" s="210"/>
      <c r="AD7" s="210"/>
      <c r="AE7" s="244"/>
      <c r="AF7" s="58"/>
      <c r="AG7" s="58"/>
    </row>
    <row r="8" spans="1:33" x14ac:dyDescent="0.25">
      <c r="A8" s="32">
        <v>5</v>
      </c>
      <c r="B8" s="240" t="s">
        <v>70</v>
      </c>
      <c r="C8" s="238" t="s">
        <v>71</v>
      </c>
      <c r="D8" s="238" t="s">
        <v>72</v>
      </c>
      <c r="E8" s="238" t="s">
        <v>51</v>
      </c>
      <c r="F8" s="239" t="s">
        <v>52</v>
      </c>
      <c r="G8" s="239">
        <v>30066</v>
      </c>
      <c r="H8" s="240" t="s">
        <v>73</v>
      </c>
      <c r="I8" s="241" t="s">
        <v>60</v>
      </c>
      <c r="J8" s="242">
        <v>177209</v>
      </c>
      <c r="K8" s="58"/>
      <c r="L8" s="243"/>
      <c r="M8" s="246" t="s">
        <v>40</v>
      </c>
      <c r="N8" s="210"/>
      <c r="O8" s="210"/>
      <c r="P8" s="247" t="str">
        <f ca="1">INDIRECT("C"&amp;COUNTA($B:$B)+2)</f>
        <v>Carlton</v>
      </c>
      <c r="Q8" s="248"/>
      <c r="R8" s="248"/>
      <c r="S8" s="248"/>
      <c r="T8" s="248"/>
      <c r="U8" s="249"/>
      <c r="V8" s="210"/>
      <c r="W8" s="211" t="s">
        <v>43</v>
      </c>
      <c r="X8" s="210"/>
      <c r="Y8" s="247" t="str">
        <f ca="1">INDIRECT("F"&amp;COUNTA($B:$B)+2)</f>
        <v xml:space="preserve">GA </v>
      </c>
      <c r="Z8" s="248"/>
      <c r="AA8" s="248"/>
      <c r="AB8" s="248"/>
      <c r="AC8" s="248"/>
      <c r="AD8" s="249"/>
      <c r="AE8" s="244"/>
      <c r="AF8" s="58"/>
      <c r="AG8" s="58"/>
    </row>
    <row r="9" spans="1:33" x14ac:dyDescent="0.25">
      <c r="A9" s="32">
        <v>6</v>
      </c>
      <c r="B9" s="238" t="s">
        <v>74</v>
      </c>
      <c r="C9" s="238" t="s">
        <v>75</v>
      </c>
      <c r="D9" s="238" t="s">
        <v>76</v>
      </c>
      <c r="E9" s="238" t="s">
        <v>77</v>
      </c>
      <c r="F9" s="239" t="s">
        <v>52</v>
      </c>
      <c r="G9" s="239">
        <v>30092</v>
      </c>
      <c r="H9" s="240" t="s">
        <v>78</v>
      </c>
      <c r="I9" s="241" t="s">
        <v>65</v>
      </c>
      <c r="J9" s="242">
        <v>212254.23</v>
      </c>
      <c r="K9" s="58"/>
      <c r="L9" s="243"/>
      <c r="M9" s="210"/>
      <c r="N9" s="210"/>
      <c r="O9" s="210"/>
      <c r="P9" s="210"/>
      <c r="Q9" s="210"/>
      <c r="R9" s="210"/>
      <c r="S9" s="210"/>
      <c r="T9" s="210"/>
      <c r="U9" s="210"/>
      <c r="V9" s="210"/>
      <c r="W9" s="210"/>
      <c r="X9" s="210"/>
      <c r="Y9" s="210"/>
      <c r="Z9" s="210"/>
      <c r="AA9" s="210"/>
      <c r="AB9" s="210"/>
      <c r="AC9" s="210"/>
      <c r="AD9" s="210"/>
      <c r="AE9" s="244"/>
      <c r="AF9" s="58"/>
      <c r="AG9" s="58"/>
    </row>
    <row r="10" spans="1:33" x14ac:dyDescent="0.25">
      <c r="A10" s="32">
        <v>7</v>
      </c>
      <c r="B10" s="238" t="s">
        <v>79</v>
      </c>
      <c r="C10" s="238" t="s">
        <v>80</v>
      </c>
      <c r="D10" s="238" t="s">
        <v>50</v>
      </c>
      <c r="E10" s="238" t="s">
        <v>81</v>
      </c>
      <c r="F10" s="239" t="s">
        <v>82</v>
      </c>
      <c r="G10" s="239">
        <v>30092</v>
      </c>
      <c r="H10" s="240" t="s">
        <v>53</v>
      </c>
      <c r="I10" s="241" t="s">
        <v>54</v>
      </c>
      <c r="J10" s="242">
        <v>124533.45</v>
      </c>
      <c r="K10" s="58"/>
      <c r="L10" s="243"/>
      <c r="M10" s="246" t="s">
        <v>41</v>
      </c>
      <c r="N10" s="210"/>
      <c r="O10" s="210"/>
      <c r="P10" s="247" t="str">
        <f ca="1">INDIRECT("D"&amp;COUNTA($B:$B)+2)</f>
        <v>100 Peachtree Street</v>
      </c>
      <c r="Q10" s="248"/>
      <c r="R10" s="248"/>
      <c r="S10" s="248"/>
      <c r="T10" s="248"/>
      <c r="U10" s="249"/>
      <c r="V10" s="210"/>
      <c r="W10" s="211" t="s">
        <v>44</v>
      </c>
      <c r="X10" s="210"/>
      <c r="Y10" s="394">
        <f ca="1">INDIRECT("G"&amp;COUNTA($B:$B)+2)</f>
        <v>30092</v>
      </c>
      <c r="Z10" s="395"/>
      <c r="AA10" s="395"/>
      <c r="AB10" s="395"/>
      <c r="AC10" s="395"/>
      <c r="AD10" s="396"/>
      <c r="AE10" s="244"/>
      <c r="AF10" s="58"/>
      <c r="AG10" s="58"/>
    </row>
    <row r="11" spans="1:33" x14ac:dyDescent="0.25">
      <c r="A11" s="32">
        <v>8</v>
      </c>
      <c r="B11" s="238"/>
      <c r="C11" s="238"/>
      <c r="D11" s="238"/>
      <c r="E11" s="238"/>
      <c r="F11" s="238"/>
      <c r="G11" s="238"/>
      <c r="H11" s="238"/>
      <c r="I11" s="239"/>
      <c r="J11" s="238"/>
      <c r="K11" s="58"/>
      <c r="L11" s="243"/>
      <c r="M11" s="210"/>
      <c r="N11" s="210"/>
      <c r="O11" s="210"/>
      <c r="P11" s="210"/>
      <c r="Q11" s="210"/>
      <c r="R11" s="210"/>
      <c r="S11" s="210"/>
      <c r="T11" s="210"/>
      <c r="U11" s="210"/>
      <c r="V11" s="210"/>
      <c r="W11" s="210"/>
      <c r="X11" s="210"/>
      <c r="Y11" s="210"/>
      <c r="Z11" s="210"/>
      <c r="AA11" s="210"/>
      <c r="AB11" s="210"/>
      <c r="AC11" s="210"/>
      <c r="AD11" s="210"/>
      <c r="AE11" s="244"/>
      <c r="AF11" s="58"/>
      <c r="AG11" s="58"/>
    </row>
    <row r="12" spans="1:33" x14ac:dyDescent="0.25">
      <c r="A12" s="32">
        <v>9</v>
      </c>
      <c r="B12" s="238"/>
      <c r="C12" s="238"/>
      <c r="D12" s="238"/>
      <c r="E12" s="238"/>
      <c r="F12" s="238"/>
      <c r="G12" s="238"/>
      <c r="H12" s="238"/>
      <c r="I12" s="239"/>
      <c r="J12" s="238"/>
      <c r="K12" s="58"/>
      <c r="L12" s="243"/>
      <c r="M12" s="211" t="s">
        <v>45</v>
      </c>
      <c r="N12" s="210"/>
      <c r="O12" s="210"/>
      <c r="P12" s="247" t="str">
        <f ca="1">INDIRECT("H"&amp;COUNTA($B:$B)+2)</f>
        <v>770.842.5902</v>
      </c>
      <c r="Q12" s="248"/>
      <c r="R12" s="248"/>
      <c r="S12" s="248"/>
      <c r="T12" s="248"/>
      <c r="U12" s="249"/>
      <c r="V12" s="210"/>
      <c r="W12" s="214" t="s">
        <v>99</v>
      </c>
      <c r="X12" s="210"/>
      <c r="Y12" s="247" t="str">
        <f ca="1">INDIRECT("I"&amp;COUNTA($B:$B)+2)</f>
        <v>Plan A</v>
      </c>
      <c r="Z12" s="248"/>
      <c r="AA12" s="248"/>
      <c r="AB12" s="248"/>
      <c r="AC12" s="248"/>
      <c r="AD12" s="249"/>
      <c r="AE12" s="244"/>
      <c r="AF12" s="58"/>
      <c r="AG12" s="58"/>
    </row>
    <row r="13" spans="1:33" x14ac:dyDescent="0.25">
      <c r="A13" s="32">
        <v>10</v>
      </c>
      <c r="B13" s="238"/>
      <c r="C13" s="238"/>
      <c r="D13" s="238"/>
      <c r="E13" s="238"/>
      <c r="F13" s="238"/>
      <c r="G13" s="238"/>
      <c r="H13" s="238"/>
      <c r="I13" s="239"/>
      <c r="J13" s="238"/>
      <c r="K13" s="58"/>
      <c r="L13" s="243"/>
      <c r="M13" s="210"/>
      <c r="N13" s="210"/>
      <c r="O13" s="210"/>
      <c r="P13" s="210"/>
      <c r="Q13" s="210"/>
      <c r="R13" s="210"/>
      <c r="S13" s="210"/>
      <c r="T13" s="210"/>
      <c r="U13" s="210"/>
      <c r="V13" s="210"/>
      <c r="W13" s="210"/>
      <c r="X13" s="210"/>
      <c r="Y13" s="210"/>
      <c r="Z13" s="210"/>
      <c r="AA13" s="210"/>
      <c r="AB13" s="210"/>
      <c r="AC13" s="210"/>
      <c r="AD13" s="210"/>
      <c r="AE13" s="244"/>
      <c r="AF13" s="58"/>
      <c r="AG13" s="58"/>
    </row>
    <row r="14" spans="1:33" x14ac:dyDescent="0.25">
      <c r="A14" s="32">
        <v>11</v>
      </c>
      <c r="B14" s="238"/>
      <c r="C14" s="238"/>
      <c r="D14" s="238"/>
      <c r="E14" s="238"/>
      <c r="F14" s="238"/>
      <c r="G14" s="238"/>
      <c r="H14" s="238"/>
      <c r="I14" s="239"/>
      <c r="J14" s="238"/>
      <c r="K14" s="58"/>
      <c r="L14" s="243"/>
      <c r="M14" s="211" t="s">
        <v>90</v>
      </c>
      <c r="N14" s="210"/>
      <c r="O14" s="210"/>
      <c r="P14" s="210"/>
      <c r="Q14" s="210"/>
      <c r="R14" s="210"/>
      <c r="S14" s="210"/>
      <c r="T14" s="210"/>
      <c r="U14" s="210"/>
      <c r="V14" s="210"/>
      <c r="W14" s="210"/>
      <c r="X14" s="210"/>
      <c r="Y14" s="382">
        <f ca="1">INDIRECT("J"&amp;COUNTA($B:$B)+2)</f>
        <v>124533.45</v>
      </c>
      <c r="Z14" s="383"/>
      <c r="AA14" s="383"/>
      <c r="AB14" s="383"/>
      <c r="AC14" s="383"/>
      <c r="AD14" s="384"/>
      <c r="AE14" s="244"/>
      <c r="AF14" s="58"/>
      <c r="AG14" s="58"/>
    </row>
    <row r="15" spans="1:33" x14ac:dyDescent="0.25">
      <c r="A15" s="32">
        <v>12</v>
      </c>
      <c r="B15" s="238"/>
      <c r="C15" s="238"/>
      <c r="D15" s="238"/>
      <c r="E15" s="238"/>
      <c r="F15" s="238"/>
      <c r="G15" s="238"/>
      <c r="H15" s="238"/>
      <c r="I15" s="239"/>
      <c r="J15" s="238"/>
      <c r="K15" s="58"/>
      <c r="L15" s="243"/>
      <c r="M15" s="210"/>
      <c r="N15" s="210"/>
      <c r="O15" s="210"/>
      <c r="P15" s="210"/>
      <c r="Q15" s="210"/>
      <c r="R15" s="210"/>
      <c r="S15" s="210"/>
      <c r="T15" s="210"/>
      <c r="U15" s="210"/>
      <c r="V15" s="210"/>
      <c r="W15" s="210"/>
      <c r="X15" s="210"/>
      <c r="Y15" s="210"/>
      <c r="Z15" s="210"/>
      <c r="AA15" s="210"/>
      <c r="AB15" s="210"/>
      <c r="AC15" s="210"/>
      <c r="AD15" s="210"/>
      <c r="AE15" s="244"/>
      <c r="AF15" s="58"/>
      <c r="AG15" s="58"/>
    </row>
    <row r="16" spans="1:33" x14ac:dyDescent="0.25">
      <c r="A16" s="32">
        <v>13</v>
      </c>
      <c r="B16" s="238"/>
      <c r="C16" s="238"/>
      <c r="D16" s="238"/>
      <c r="E16" s="238"/>
      <c r="F16" s="238"/>
      <c r="G16" s="238"/>
      <c r="H16" s="238"/>
      <c r="I16" s="239"/>
      <c r="J16" s="238"/>
      <c r="K16" s="58"/>
      <c r="L16" s="385" t="s">
        <v>91</v>
      </c>
      <c r="M16" s="386"/>
      <c r="N16" s="386"/>
      <c r="O16" s="386"/>
      <c r="P16" s="386"/>
      <c r="Q16" s="386"/>
      <c r="R16" s="386"/>
      <c r="S16" s="386"/>
      <c r="T16" s="386"/>
      <c r="U16" s="386"/>
      <c r="V16" s="386"/>
      <c r="W16" s="386"/>
      <c r="X16" s="386"/>
      <c r="Y16" s="386"/>
      <c r="Z16" s="386"/>
      <c r="AA16" s="386"/>
      <c r="AB16" s="386"/>
      <c r="AC16" s="386"/>
      <c r="AD16" s="386"/>
      <c r="AE16" s="387"/>
      <c r="AF16" s="58"/>
      <c r="AG16" s="58"/>
    </row>
    <row r="17" spans="1:33" ht="16.5" thickBot="1" x14ac:dyDescent="0.3">
      <c r="A17" s="32">
        <v>14</v>
      </c>
      <c r="B17" s="238"/>
      <c r="C17" s="238"/>
      <c r="D17" s="238"/>
      <c r="E17" s="238"/>
      <c r="F17" s="238"/>
      <c r="G17" s="238"/>
      <c r="H17" s="238"/>
      <c r="I17" s="239"/>
      <c r="J17" s="238"/>
      <c r="K17" s="58"/>
      <c r="L17" s="251"/>
      <c r="M17" s="252"/>
      <c r="N17" s="252"/>
      <c r="O17" s="252"/>
      <c r="P17" s="252"/>
      <c r="Q17" s="252"/>
      <c r="R17" s="252"/>
      <c r="S17" s="252"/>
      <c r="T17" s="252"/>
      <c r="U17" s="252"/>
      <c r="V17" s="252"/>
      <c r="W17" s="252"/>
      <c r="X17" s="252"/>
      <c r="Y17" s="252"/>
      <c r="Z17" s="252"/>
      <c r="AA17" s="252"/>
      <c r="AB17" s="252"/>
      <c r="AC17" s="252"/>
      <c r="AD17" s="252"/>
      <c r="AE17" s="253"/>
      <c r="AF17" s="58"/>
      <c r="AG17" s="58"/>
    </row>
    <row r="18" spans="1:33" x14ac:dyDescent="0.25">
      <c r="A18" s="32">
        <v>15</v>
      </c>
      <c r="B18" s="238"/>
      <c r="C18" s="238"/>
      <c r="D18" s="238"/>
      <c r="E18" s="238"/>
      <c r="F18" s="238"/>
      <c r="G18" s="238"/>
      <c r="H18" s="238"/>
      <c r="I18" s="239"/>
      <c r="J18" s="238"/>
      <c r="K18" s="58"/>
      <c r="L18" s="58"/>
      <c r="M18" s="58"/>
      <c r="N18" s="58"/>
      <c r="O18" s="58"/>
      <c r="P18" s="58"/>
      <c r="Q18" s="58"/>
      <c r="R18" s="58"/>
      <c r="S18" s="58"/>
      <c r="T18" s="58"/>
      <c r="U18" s="58"/>
      <c r="V18" s="58"/>
      <c r="W18" s="58"/>
      <c r="X18" s="58"/>
      <c r="Y18" s="58"/>
      <c r="Z18" s="58"/>
      <c r="AA18" s="58"/>
      <c r="AB18" s="58"/>
      <c r="AC18" s="58"/>
      <c r="AD18" s="58"/>
      <c r="AE18" s="58"/>
      <c r="AF18" s="58"/>
      <c r="AG18" s="58"/>
    </row>
    <row r="19" spans="1:33" x14ac:dyDescent="0.25">
      <c r="A19" s="32">
        <v>16</v>
      </c>
      <c r="B19" s="238"/>
      <c r="C19" s="238"/>
      <c r="D19" s="238"/>
      <c r="E19" s="238"/>
      <c r="F19" s="238"/>
      <c r="G19" s="238"/>
      <c r="H19" s="238"/>
      <c r="I19" s="239"/>
      <c r="J19" s="238"/>
      <c r="K19" s="58"/>
      <c r="L19" s="58"/>
      <c r="M19" s="58"/>
      <c r="N19" s="58"/>
      <c r="O19" s="58"/>
      <c r="P19" s="58"/>
      <c r="Q19" s="58"/>
      <c r="R19" s="58"/>
      <c r="S19" s="58"/>
      <c r="T19" s="58"/>
      <c r="U19" s="58"/>
      <c r="V19" s="58"/>
      <c r="W19" s="58"/>
      <c r="X19" s="58"/>
      <c r="Y19" s="58"/>
      <c r="Z19" s="58"/>
      <c r="AA19" s="58"/>
      <c r="AB19" s="58"/>
      <c r="AC19" s="58"/>
      <c r="AD19" s="58"/>
      <c r="AE19" s="58"/>
      <c r="AF19" s="58"/>
      <c r="AG19" s="58"/>
    </row>
    <row r="20" spans="1:33" x14ac:dyDescent="0.25">
      <c r="A20" s="32">
        <v>17</v>
      </c>
      <c r="B20" s="238"/>
      <c r="C20" s="238"/>
      <c r="D20" s="238"/>
      <c r="E20" s="238"/>
      <c r="F20" s="238"/>
      <c r="G20" s="238"/>
      <c r="H20" s="238"/>
      <c r="I20" s="239"/>
      <c r="J20" s="238"/>
      <c r="K20" s="58"/>
      <c r="L20" s="58"/>
      <c r="M20" s="58"/>
      <c r="N20" s="58"/>
      <c r="O20" s="58"/>
      <c r="P20" s="58"/>
      <c r="Q20" s="58"/>
      <c r="R20" s="58"/>
      <c r="S20" s="58"/>
      <c r="T20" s="58"/>
      <c r="U20" s="58"/>
      <c r="V20" s="58"/>
      <c r="W20" s="58"/>
      <c r="X20" s="58"/>
      <c r="Y20" s="58"/>
      <c r="Z20" s="58"/>
      <c r="AA20" s="58"/>
      <c r="AB20" s="58"/>
      <c r="AC20" s="58"/>
      <c r="AD20" s="58"/>
      <c r="AE20" s="58"/>
      <c r="AF20" s="58"/>
      <c r="AG20" s="58"/>
    </row>
    <row r="21" spans="1:33" x14ac:dyDescent="0.25">
      <c r="A21" s="32">
        <v>18</v>
      </c>
      <c r="B21" s="238"/>
      <c r="C21" s="238"/>
      <c r="D21" s="238"/>
      <c r="E21" s="238"/>
      <c r="F21" s="238"/>
      <c r="G21" s="238"/>
      <c r="H21" s="238"/>
      <c r="I21" s="239"/>
      <c r="J21" s="238"/>
      <c r="K21" s="58"/>
      <c r="L21" s="58"/>
      <c r="M21" s="58"/>
      <c r="N21" s="58"/>
      <c r="O21" s="58"/>
      <c r="P21" s="58"/>
      <c r="Q21" s="58"/>
      <c r="R21" s="58"/>
      <c r="S21" s="58"/>
      <c r="T21" s="58"/>
      <c r="U21" s="58"/>
      <c r="V21" s="58"/>
      <c r="W21" s="58"/>
      <c r="X21" s="58"/>
      <c r="Y21" s="58"/>
      <c r="Z21" s="58"/>
      <c r="AA21" s="58"/>
      <c r="AB21" s="58"/>
      <c r="AC21" s="58"/>
      <c r="AD21" s="58"/>
      <c r="AE21" s="58"/>
      <c r="AF21" s="58"/>
      <c r="AG21" s="58"/>
    </row>
    <row r="22" spans="1:33" x14ac:dyDescent="0.25">
      <c r="A22" s="32">
        <v>19</v>
      </c>
      <c r="B22" s="238"/>
      <c r="C22" s="238"/>
      <c r="D22" s="238"/>
      <c r="E22" s="238"/>
      <c r="F22" s="238"/>
      <c r="G22" s="238"/>
      <c r="H22" s="238"/>
      <c r="I22" s="239"/>
      <c r="J22" s="238"/>
      <c r="K22" s="58"/>
      <c r="L22" s="58"/>
      <c r="M22" s="58"/>
      <c r="N22" s="58"/>
      <c r="O22" s="58"/>
      <c r="P22" s="58"/>
      <c r="Q22" s="58"/>
      <c r="R22" s="58"/>
      <c r="S22" s="58"/>
      <c r="T22" s="58"/>
      <c r="U22" s="58"/>
      <c r="V22" s="58"/>
      <c r="W22" s="58"/>
      <c r="X22" s="58"/>
      <c r="Y22" s="58"/>
      <c r="Z22" s="58"/>
      <c r="AA22" s="58"/>
      <c r="AB22" s="58"/>
      <c r="AC22" s="58"/>
      <c r="AD22" s="58"/>
      <c r="AE22" s="58"/>
      <c r="AF22" s="58"/>
      <c r="AG22" s="58"/>
    </row>
    <row r="23" spans="1:33" x14ac:dyDescent="0.25">
      <c r="A23" s="32">
        <v>20</v>
      </c>
      <c r="B23" s="238"/>
      <c r="C23" s="238"/>
      <c r="D23" s="238"/>
      <c r="E23" s="238"/>
      <c r="F23" s="238"/>
      <c r="G23" s="238"/>
      <c r="H23" s="238"/>
      <c r="I23" s="239"/>
      <c r="J23" s="238"/>
      <c r="K23" s="58"/>
      <c r="L23" s="58"/>
      <c r="M23" s="58"/>
      <c r="N23" s="58"/>
      <c r="O23" s="58"/>
      <c r="P23" s="58"/>
      <c r="Q23" s="58"/>
      <c r="R23" s="58"/>
      <c r="S23" s="58"/>
      <c r="T23" s="58"/>
      <c r="U23" s="58"/>
      <c r="V23" s="58"/>
      <c r="W23" s="58"/>
      <c r="X23" s="58"/>
      <c r="Y23" s="58"/>
      <c r="Z23" s="58"/>
      <c r="AA23" s="58"/>
      <c r="AB23" s="58"/>
      <c r="AC23" s="58"/>
      <c r="AD23" s="58"/>
      <c r="AE23" s="58"/>
      <c r="AF23" s="58"/>
      <c r="AG23" s="58"/>
    </row>
    <row r="24" spans="1:33" x14ac:dyDescent="0.25">
      <c r="A24" s="32">
        <v>21</v>
      </c>
      <c r="B24" s="238"/>
      <c r="C24" s="238"/>
      <c r="D24" s="238"/>
      <c r="E24" s="238"/>
      <c r="F24" s="238"/>
      <c r="G24" s="238"/>
      <c r="H24" s="238"/>
      <c r="I24" s="239"/>
      <c r="J24" s="238"/>
      <c r="K24" s="58"/>
      <c r="L24" s="58"/>
      <c r="M24" s="58"/>
      <c r="N24" s="58"/>
      <c r="O24" s="58"/>
      <c r="P24" s="58"/>
      <c r="Q24" s="58"/>
      <c r="R24" s="58"/>
      <c r="S24" s="58"/>
      <c r="T24" s="58"/>
      <c r="U24" s="58"/>
      <c r="V24" s="58"/>
      <c r="W24" s="58"/>
      <c r="X24" s="58"/>
      <c r="Y24" s="58"/>
      <c r="Z24" s="58"/>
      <c r="AA24" s="58"/>
      <c r="AB24" s="58"/>
      <c r="AC24" s="58"/>
      <c r="AD24" s="58"/>
      <c r="AE24" s="58"/>
      <c r="AF24" s="58"/>
      <c r="AG24" s="58"/>
    </row>
    <row r="25" spans="1:33" x14ac:dyDescent="0.25">
      <c r="A25" s="32">
        <v>22</v>
      </c>
      <c r="B25" s="238"/>
      <c r="C25" s="238"/>
      <c r="D25" s="238"/>
      <c r="E25" s="238"/>
      <c r="F25" s="238"/>
      <c r="G25" s="238"/>
      <c r="H25" s="238"/>
      <c r="I25" s="239"/>
      <c r="J25" s="238"/>
      <c r="K25" s="58"/>
      <c r="L25" s="58"/>
      <c r="M25" s="58"/>
      <c r="N25" s="58"/>
      <c r="O25" s="58"/>
      <c r="P25" s="58"/>
      <c r="Q25" s="58"/>
      <c r="R25" s="58"/>
      <c r="S25" s="58"/>
      <c r="T25" s="58"/>
      <c r="U25" s="58"/>
      <c r="V25" s="58"/>
      <c r="W25" s="58"/>
      <c r="X25" s="58"/>
      <c r="Y25" s="58"/>
      <c r="Z25" s="58"/>
      <c r="AA25" s="58"/>
      <c r="AB25" s="58"/>
      <c r="AC25" s="58"/>
      <c r="AD25" s="58"/>
      <c r="AE25" s="58"/>
      <c r="AF25" s="58"/>
      <c r="AG25" s="58"/>
    </row>
    <row r="26" spans="1:33" x14ac:dyDescent="0.25">
      <c r="A26" s="32">
        <v>23</v>
      </c>
      <c r="B26" s="238"/>
      <c r="C26" s="238"/>
      <c r="D26" s="238"/>
      <c r="E26" s="238"/>
      <c r="F26" s="238"/>
      <c r="G26" s="238"/>
      <c r="H26" s="238"/>
      <c r="I26" s="239"/>
      <c r="J26" s="238"/>
      <c r="K26" s="58"/>
      <c r="L26" s="58"/>
      <c r="M26" s="58"/>
      <c r="N26" s="58"/>
      <c r="O26" s="58"/>
      <c r="P26" s="58"/>
      <c r="Q26" s="58"/>
      <c r="R26" s="58"/>
      <c r="S26" s="58"/>
      <c r="T26" s="58"/>
      <c r="U26" s="58"/>
      <c r="V26" s="58"/>
      <c r="W26" s="58"/>
      <c r="X26" s="58"/>
      <c r="Y26" s="58"/>
      <c r="Z26" s="58"/>
      <c r="AA26" s="58"/>
      <c r="AB26" s="58"/>
      <c r="AC26" s="58"/>
      <c r="AD26" s="58"/>
      <c r="AE26" s="58"/>
      <c r="AF26" s="58"/>
      <c r="AG26" s="58"/>
    </row>
    <row r="27" spans="1:33" x14ac:dyDescent="0.25">
      <c r="A27" s="32">
        <v>24</v>
      </c>
      <c r="B27" s="238"/>
      <c r="C27" s="238"/>
      <c r="D27" s="238"/>
      <c r="E27" s="238"/>
      <c r="F27" s="238"/>
      <c r="G27" s="238"/>
      <c r="H27" s="238"/>
      <c r="I27" s="239"/>
      <c r="J27" s="238"/>
      <c r="K27" s="58"/>
      <c r="L27" s="58"/>
      <c r="M27" s="58"/>
      <c r="N27" s="58"/>
      <c r="O27" s="58"/>
      <c r="P27" s="58"/>
      <c r="Q27" s="58"/>
      <c r="R27" s="58"/>
      <c r="S27" s="58"/>
      <c r="T27" s="58"/>
      <c r="U27" s="58"/>
      <c r="V27" s="58"/>
      <c r="W27" s="58"/>
      <c r="X27" s="58"/>
      <c r="Y27" s="58"/>
      <c r="Z27" s="58"/>
      <c r="AA27" s="58"/>
      <c r="AB27" s="58"/>
      <c r="AC27" s="58"/>
      <c r="AD27" s="58"/>
      <c r="AE27" s="58"/>
      <c r="AF27" s="58"/>
      <c r="AG27" s="58"/>
    </row>
    <row r="28" spans="1:33" x14ac:dyDescent="0.25">
      <c r="A28" s="32">
        <v>25</v>
      </c>
      <c r="B28" s="238"/>
      <c r="C28" s="238"/>
      <c r="D28" s="238"/>
      <c r="E28" s="238"/>
      <c r="F28" s="238"/>
      <c r="G28" s="238"/>
      <c r="H28" s="238"/>
      <c r="I28" s="239"/>
      <c r="J28" s="238"/>
      <c r="K28" s="58"/>
      <c r="L28" s="58"/>
      <c r="M28" s="58"/>
      <c r="N28" s="58"/>
      <c r="O28" s="58"/>
      <c r="P28" s="58"/>
      <c r="Q28" s="58"/>
      <c r="R28" s="58"/>
      <c r="S28" s="58"/>
      <c r="T28" s="58"/>
      <c r="U28" s="58"/>
      <c r="V28" s="58"/>
      <c r="W28" s="58"/>
      <c r="X28" s="58"/>
      <c r="Y28" s="58"/>
      <c r="Z28" s="58"/>
      <c r="AA28" s="58"/>
      <c r="AB28" s="58"/>
      <c r="AC28" s="58"/>
      <c r="AD28" s="58"/>
      <c r="AE28" s="58"/>
      <c r="AF28" s="58"/>
      <c r="AG28" s="58"/>
    </row>
    <row r="29" spans="1:33" x14ac:dyDescent="0.25">
      <c r="A29" s="32">
        <v>26</v>
      </c>
      <c r="B29" s="238"/>
      <c r="C29" s="238"/>
      <c r="D29" s="238"/>
      <c r="E29" s="238"/>
      <c r="F29" s="238"/>
      <c r="G29" s="238"/>
      <c r="H29" s="238"/>
      <c r="I29" s="239"/>
      <c r="J29" s="238"/>
      <c r="K29" s="58"/>
      <c r="L29" s="58"/>
      <c r="M29" s="58"/>
      <c r="N29" s="58"/>
      <c r="O29" s="58"/>
      <c r="P29" s="58"/>
      <c r="Q29" s="58"/>
      <c r="R29" s="58"/>
      <c r="S29" s="58"/>
      <c r="T29" s="58"/>
      <c r="U29" s="58"/>
      <c r="V29" s="58"/>
      <c r="W29" s="58"/>
      <c r="X29" s="58"/>
      <c r="Y29" s="58"/>
      <c r="Z29" s="58"/>
      <c r="AA29" s="58"/>
      <c r="AB29" s="58"/>
      <c r="AC29" s="58"/>
      <c r="AD29" s="58"/>
      <c r="AE29" s="58"/>
      <c r="AF29" s="58"/>
      <c r="AG29" s="58"/>
    </row>
  </sheetData>
  <mergeCells count="4">
    <mergeCell ref="L4:AE4"/>
    <mergeCell ref="Y10:AD10"/>
    <mergeCell ref="Y14:AD14"/>
    <mergeCell ref="L16:AE16"/>
  </mergeCells>
  <pageMargins left="0.7" right="0.7" top="0.75" bottom="0.75" header="0.3" footer="0.3"/>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dimension ref="A1:AG28"/>
  <sheetViews>
    <sheetView showGridLines="0" workbookViewId="0">
      <selection activeCell="Q1" sqref="Q1"/>
    </sheetView>
  </sheetViews>
  <sheetFormatPr defaultRowHeight="15.75" x14ac:dyDescent="0.25"/>
  <cols>
    <col min="1" max="1" width="7.875" bestFit="1" customWidth="1"/>
    <col min="2" max="3" width="10" bestFit="1" customWidth="1"/>
    <col min="4" max="4" width="19" bestFit="1" customWidth="1"/>
    <col min="5" max="5" width="8.375" bestFit="1" customWidth="1"/>
    <col min="6" max="6" width="5.375" bestFit="1" customWidth="1"/>
    <col min="7" max="7" width="5.875" bestFit="1" customWidth="1"/>
    <col min="8" max="8" width="11.875" bestFit="1" customWidth="1"/>
    <col min="9" max="9" width="11.875" customWidth="1"/>
    <col min="10" max="10" width="12.125" bestFit="1" customWidth="1"/>
    <col min="11" max="11" width="3.75" customWidth="1"/>
    <col min="12" max="31" width="3.625" customWidth="1"/>
    <col min="32" max="32" width="3" customWidth="1"/>
  </cols>
  <sheetData>
    <row r="1" spans="1:33" x14ac:dyDescent="0.25">
      <c r="A1" s="16"/>
      <c r="B1" s="16"/>
      <c r="C1" s="16"/>
      <c r="D1" s="16"/>
      <c r="E1" s="16"/>
      <c r="F1" s="16"/>
      <c r="G1" s="16"/>
      <c r="H1" s="16"/>
      <c r="I1" s="16"/>
      <c r="J1" s="16"/>
      <c r="K1" s="16"/>
      <c r="L1" s="16"/>
      <c r="M1" s="16"/>
      <c r="N1" s="16"/>
      <c r="O1" s="16"/>
      <c r="P1" s="16"/>
      <c r="Q1" s="16"/>
      <c r="R1" s="16"/>
      <c r="S1" s="17">
        <f t="shared" ref="S1:AB1" si="0">VLOOKUP(MAX($A$3:$A$147),$A$3:$H$147,2)</f>
        <v>0</v>
      </c>
      <c r="T1" s="17">
        <f t="shared" si="0"/>
        <v>0</v>
      </c>
      <c r="U1" s="17">
        <f t="shared" si="0"/>
        <v>0</v>
      </c>
      <c r="V1" s="17">
        <f t="shared" si="0"/>
        <v>0</v>
      </c>
      <c r="W1" s="17">
        <f t="shared" si="0"/>
        <v>0</v>
      </c>
      <c r="X1" s="17">
        <f t="shared" si="0"/>
        <v>0</v>
      </c>
      <c r="Y1" s="17">
        <f t="shared" si="0"/>
        <v>0</v>
      </c>
      <c r="Z1" s="17">
        <f t="shared" si="0"/>
        <v>0</v>
      </c>
      <c r="AA1" s="17">
        <f t="shared" si="0"/>
        <v>0</v>
      </c>
      <c r="AB1" s="17">
        <f t="shared" si="0"/>
        <v>0</v>
      </c>
      <c r="AC1" s="18"/>
      <c r="AD1" s="18"/>
      <c r="AE1" s="18"/>
      <c r="AF1" s="18"/>
      <c r="AG1" s="18"/>
    </row>
    <row r="2" spans="1:33" ht="16.5" thickBot="1" x14ac:dyDescent="0.3">
      <c r="A2" s="73"/>
      <c r="B2" s="20"/>
      <c r="C2" s="20"/>
      <c r="D2" s="20"/>
      <c r="E2" s="20"/>
      <c r="F2" s="20"/>
      <c r="G2" s="20"/>
      <c r="H2" s="20"/>
      <c r="I2" s="22"/>
      <c r="J2" s="20"/>
      <c r="K2" s="23"/>
      <c r="L2" s="23"/>
      <c r="M2" s="23"/>
      <c r="N2" s="23"/>
      <c r="O2" s="23"/>
      <c r="P2" s="23"/>
      <c r="Q2" s="23"/>
      <c r="R2" s="23"/>
      <c r="S2" s="23"/>
      <c r="T2" s="23"/>
      <c r="U2" s="23"/>
      <c r="V2" s="23"/>
      <c r="W2" s="23"/>
      <c r="X2" s="23"/>
      <c r="Y2" s="23"/>
      <c r="Z2" s="23"/>
      <c r="AA2" s="23"/>
      <c r="AB2" s="23"/>
      <c r="AC2" s="23"/>
      <c r="AD2" s="23"/>
      <c r="AE2" s="23"/>
      <c r="AF2" s="23"/>
      <c r="AG2" s="23"/>
    </row>
    <row r="3" spans="1:33" x14ac:dyDescent="0.25">
      <c r="A3" s="68" t="s">
        <v>38</v>
      </c>
      <c r="B3" s="69" t="s">
        <v>39</v>
      </c>
      <c r="C3" s="69" t="s">
        <v>40</v>
      </c>
      <c r="D3" s="69" t="s">
        <v>41</v>
      </c>
      <c r="E3" s="68" t="s">
        <v>42</v>
      </c>
      <c r="F3" s="68" t="s">
        <v>43</v>
      </c>
      <c r="G3" s="68" t="s">
        <v>44</v>
      </c>
      <c r="H3" s="68" t="s">
        <v>45</v>
      </c>
      <c r="I3" s="68" t="s">
        <v>46</v>
      </c>
      <c r="J3" s="68" t="s">
        <v>47</v>
      </c>
      <c r="K3" s="23"/>
      <c r="L3" s="29"/>
      <c r="M3" s="30"/>
      <c r="N3" s="30"/>
      <c r="O3" s="30"/>
      <c r="P3" s="30"/>
      <c r="Q3" s="30"/>
      <c r="R3" s="30"/>
      <c r="S3" s="30"/>
      <c r="T3" s="30"/>
      <c r="U3" s="30"/>
      <c r="V3" s="30"/>
      <c r="W3" s="30"/>
      <c r="X3" s="30"/>
      <c r="Y3" s="30"/>
      <c r="Z3" s="30"/>
      <c r="AA3" s="30"/>
      <c r="AB3" s="30"/>
      <c r="AC3" s="30"/>
      <c r="AD3" s="30"/>
      <c r="AE3" s="31"/>
      <c r="AF3" s="23"/>
      <c r="AG3" s="23"/>
    </row>
    <row r="4" spans="1:33" x14ac:dyDescent="0.25">
      <c r="A4" s="32">
        <v>1</v>
      </c>
      <c r="B4" s="33" t="s">
        <v>48</v>
      </c>
      <c r="C4" s="34" t="s">
        <v>49</v>
      </c>
      <c r="D4" s="34" t="s">
        <v>50</v>
      </c>
      <c r="E4" s="34" t="s">
        <v>51</v>
      </c>
      <c r="F4" s="35" t="s">
        <v>52</v>
      </c>
      <c r="G4" s="35">
        <v>30062</v>
      </c>
      <c r="H4" s="33" t="s">
        <v>53</v>
      </c>
      <c r="I4" s="37" t="s">
        <v>54</v>
      </c>
      <c r="J4" s="70">
        <v>157665</v>
      </c>
      <c r="K4" s="23"/>
      <c r="L4" s="300" t="s">
        <v>55</v>
      </c>
      <c r="M4" s="301"/>
      <c r="N4" s="301"/>
      <c r="O4" s="301"/>
      <c r="P4" s="301"/>
      <c r="Q4" s="301"/>
      <c r="R4" s="301"/>
      <c r="S4" s="301"/>
      <c r="T4" s="301"/>
      <c r="U4" s="301"/>
      <c r="V4" s="301"/>
      <c r="W4" s="301"/>
      <c r="X4" s="301"/>
      <c r="Y4" s="301"/>
      <c r="Z4" s="301"/>
      <c r="AA4" s="301"/>
      <c r="AB4" s="301"/>
      <c r="AC4" s="301"/>
      <c r="AD4" s="301"/>
      <c r="AE4" s="302"/>
      <c r="AF4" s="23"/>
      <c r="AG4" s="23"/>
    </row>
    <row r="5" spans="1:33" x14ac:dyDescent="0.25">
      <c r="A5" s="32">
        <v>2</v>
      </c>
      <c r="B5" s="39" t="s">
        <v>56</v>
      </c>
      <c r="C5" s="39" t="s">
        <v>57</v>
      </c>
      <c r="D5" s="39" t="s">
        <v>58</v>
      </c>
      <c r="E5" s="39" t="s">
        <v>51</v>
      </c>
      <c r="F5" s="40" t="s">
        <v>52</v>
      </c>
      <c r="G5" s="40">
        <v>30063</v>
      </c>
      <c r="H5" s="42" t="s">
        <v>59</v>
      </c>
      <c r="I5" s="43" t="s">
        <v>60</v>
      </c>
      <c r="J5" s="71">
        <v>156340</v>
      </c>
      <c r="K5" s="23"/>
      <c r="L5" s="45"/>
      <c r="M5" s="46"/>
      <c r="N5" s="46"/>
      <c r="O5" s="46"/>
      <c r="P5" s="46"/>
      <c r="Q5" s="46"/>
      <c r="R5" s="46"/>
      <c r="S5" s="46"/>
      <c r="T5" s="46"/>
      <c r="U5" s="46"/>
      <c r="V5" s="46"/>
      <c r="W5" s="46"/>
      <c r="X5" s="46"/>
      <c r="Y5" s="46"/>
      <c r="Z5" s="46"/>
      <c r="AA5" s="46"/>
      <c r="AB5" s="46"/>
      <c r="AC5" s="46"/>
      <c r="AD5" s="46"/>
      <c r="AE5" s="47"/>
      <c r="AF5" s="23"/>
      <c r="AG5" s="23"/>
    </row>
    <row r="6" spans="1:33" x14ac:dyDescent="0.25">
      <c r="A6" s="32">
        <v>3</v>
      </c>
      <c r="B6" s="39" t="s">
        <v>61</v>
      </c>
      <c r="C6" s="42" t="s">
        <v>62</v>
      </c>
      <c r="D6" s="39" t="s">
        <v>63</v>
      </c>
      <c r="E6" s="39" t="s">
        <v>51</v>
      </c>
      <c r="F6" s="40" t="s">
        <v>52</v>
      </c>
      <c r="G6" s="40">
        <v>30064</v>
      </c>
      <c r="H6" s="42" t="s">
        <v>64</v>
      </c>
      <c r="I6" s="43" t="s">
        <v>65</v>
      </c>
      <c r="J6" s="71">
        <v>81480</v>
      </c>
      <c r="K6" s="23"/>
      <c r="L6" s="45"/>
      <c r="M6" s="48" t="s">
        <v>39</v>
      </c>
      <c r="N6" s="46"/>
      <c r="O6" s="46"/>
      <c r="P6" s="49" t="str">
        <f>INDEX($B$3:$J$104,MATCH(REPT("z",255),$B$3:$B$104),1)</f>
        <v>Collins</v>
      </c>
      <c r="Q6" s="50"/>
      <c r="R6" s="50"/>
      <c r="S6" s="50"/>
      <c r="T6" s="50"/>
      <c r="U6" s="51"/>
      <c r="V6" s="46"/>
      <c r="W6" s="52" t="s">
        <v>42</v>
      </c>
      <c r="X6" s="46"/>
      <c r="Y6" s="49" t="str">
        <f>INDEX($B$3:$J$104,MATCH(REPT("z",255),$B$3:$B$104),4)</f>
        <v>Norcross</v>
      </c>
      <c r="Z6" s="50"/>
      <c r="AA6" s="50"/>
      <c r="AB6" s="50"/>
      <c r="AC6" s="50"/>
      <c r="AD6" s="51"/>
      <c r="AE6" s="47"/>
      <c r="AF6" s="23"/>
      <c r="AG6" s="23"/>
    </row>
    <row r="7" spans="1:33" x14ac:dyDescent="0.25">
      <c r="A7" s="32">
        <v>4</v>
      </c>
      <c r="B7" s="39" t="s">
        <v>66</v>
      </c>
      <c r="C7" s="42" t="s">
        <v>67</v>
      </c>
      <c r="D7" s="39" t="s">
        <v>68</v>
      </c>
      <c r="E7" s="39" t="s">
        <v>51</v>
      </c>
      <c r="F7" s="40" t="s">
        <v>52</v>
      </c>
      <c r="G7" s="40">
        <v>30065</v>
      </c>
      <c r="H7" s="42" t="s">
        <v>69</v>
      </c>
      <c r="I7" s="43" t="s">
        <v>54</v>
      </c>
      <c r="J7" s="71">
        <v>202578</v>
      </c>
      <c r="K7" s="23"/>
      <c r="L7" s="45"/>
      <c r="M7" s="46"/>
      <c r="N7" s="46"/>
      <c r="O7" s="46"/>
      <c r="P7" s="46"/>
      <c r="Q7" s="46"/>
      <c r="R7" s="46"/>
      <c r="S7" s="46"/>
      <c r="T7" s="46"/>
      <c r="U7" s="46"/>
      <c r="V7" s="46"/>
      <c r="W7" s="46"/>
      <c r="X7" s="46"/>
      <c r="Y7" s="46"/>
      <c r="Z7" s="46"/>
      <c r="AA7" s="46"/>
      <c r="AB7" s="46"/>
      <c r="AC7" s="46"/>
      <c r="AD7" s="46"/>
      <c r="AE7" s="47"/>
      <c r="AF7" s="23"/>
      <c r="AG7" s="23"/>
    </row>
    <row r="8" spans="1:33" x14ac:dyDescent="0.25">
      <c r="A8" s="32">
        <v>5</v>
      </c>
      <c r="B8" s="42" t="s">
        <v>70</v>
      </c>
      <c r="C8" s="39" t="s">
        <v>71</v>
      </c>
      <c r="D8" s="39" t="s">
        <v>72</v>
      </c>
      <c r="E8" s="39" t="s">
        <v>51</v>
      </c>
      <c r="F8" s="40" t="s">
        <v>52</v>
      </c>
      <c r="G8" s="40">
        <v>30066</v>
      </c>
      <c r="H8" s="42" t="s">
        <v>73</v>
      </c>
      <c r="I8" s="43" t="s">
        <v>60</v>
      </c>
      <c r="J8" s="71">
        <v>177209</v>
      </c>
      <c r="K8" s="23"/>
      <c r="L8" s="45"/>
      <c r="M8" s="48" t="s">
        <v>40</v>
      </c>
      <c r="N8" s="46"/>
      <c r="O8" s="46"/>
      <c r="P8" s="49" t="str">
        <f>INDEX($B$3:$J$104,MATCH(REPT("z",255),$B$3:$B$104),2)</f>
        <v>Carlton</v>
      </c>
      <c r="Q8" s="50"/>
      <c r="R8" s="50"/>
      <c r="S8" s="50"/>
      <c r="T8" s="50"/>
      <c r="U8" s="51"/>
      <c r="V8" s="46"/>
      <c r="W8" s="52" t="s">
        <v>43</v>
      </c>
      <c r="X8" s="46"/>
      <c r="Y8" s="49" t="str">
        <f>INDEX($B$3:$J$104,MATCH(REPT("z",255),$B$3:$B$104),5)</f>
        <v xml:space="preserve">GA </v>
      </c>
      <c r="Z8" s="50"/>
      <c r="AA8" s="50"/>
      <c r="AB8" s="50"/>
      <c r="AC8" s="50"/>
      <c r="AD8" s="51"/>
      <c r="AE8" s="47"/>
      <c r="AF8" s="23"/>
      <c r="AG8" s="23"/>
    </row>
    <row r="9" spans="1:33" x14ac:dyDescent="0.25">
      <c r="A9" s="32">
        <v>6</v>
      </c>
      <c r="B9" s="39" t="s">
        <v>74</v>
      </c>
      <c r="C9" s="39" t="s">
        <v>75</v>
      </c>
      <c r="D9" s="39" t="s">
        <v>76</v>
      </c>
      <c r="E9" s="39" t="s">
        <v>77</v>
      </c>
      <c r="F9" s="40" t="s">
        <v>52</v>
      </c>
      <c r="G9" s="40">
        <v>30092</v>
      </c>
      <c r="H9" s="42" t="s">
        <v>78</v>
      </c>
      <c r="I9" s="43" t="s">
        <v>65</v>
      </c>
      <c r="J9" s="71">
        <v>212254.23</v>
      </c>
      <c r="K9" s="23"/>
      <c r="L9" s="45"/>
      <c r="M9" s="46"/>
      <c r="N9" s="46"/>
      <c r="O9" s="46"/>
      <c r="P9" s="46"/>
      <c r="Q9" s="46"/>
      <c r="R9" s="46"/>
      <c r="S9" s="46"/>
      <c r="T9" s="46"/>
      <c r="U9" s="46"/>
      <c r="V9" s="46"/>
      <c r="W9" s="46"/>
      <c r="X9" s="46"/>
      <c r="Y9" s="46"/>
      <c r="Z9" s="46"/>
      <c r="AA9" s="46"/>
      <c r="AB9" s="46"/>
      <c r="AC9" s="46"/>
      <c r="AD9" s="46"/>
      <c r="AE9" s="47"/>
      <c r="AF9" s="23"/>
      <c r="AG9" s="23"/>
    </row>
    <row r="10" spans="1:33" x14ac:dyDescent="0.25">
      <c r="A10" s="32">
        <v>7</v>
      </c>
      <c r="B10" s="39" t="s">
        <v>79</v>
      </c>
      <c r="C10" s="39" t="s">
        <v>80</v>
      </c>
      <c r="D10" s="39" t="s">
        <v>50</v>
      </c>
      <c r="E10" s="39" t="s">
        <v>81</v>
      </c>
      <c r="F10" s="40" t="s">
        <v>82</v>
      </c>
      <c r="G10" s="40">
        <v>30092</v>
      </c>
      <c r="H10" s="42" t="s">
        <v>53</v>
      </c>
      <c r="I10" s="43" t="s">
        <v>54</v>
      </c>
      <c r="J10" s="71">
        <v>124533.45</v>
      </c>
      <c r="K10" s="23"/>
      <c r="L10" s="45"/>
      <c r="M10" s="48" t="s">
        <v>41</v>
      </c>
      <c r="N10" s="46"/>
      <c r="O10" s="46"/>
      <c r="P10" s="49" t="str">
        <f>INDEX($B$3:$J$104,MATCH(REPT("z",255),$B$3:$B$104),3)</f>
        <v>100 Peachtree Street</v>
      </c>
      <c r="Q10" s="50"/>
      <c r="R10" s="50"/>
      <c r="S10" s="50"/>
      <c r="T10" s="50"/>
      <c r="U10" s="51"/>
      <c r="V10" s="46"/>
      <c r="W10" s="52" t="s">
        <v>44</v>
      </c>
      <c r="X10" s="46"/>
      <c r="Y10" s="49" t="str">
        <f>TEXT(INDEX($B$3:$J$104,MATCH(REPT("z",255),$B$3:$B$104),6),"#####")</f>
        <v>30092</v>
      </c>
      <c r="Z10" s="50"/>
      <c r="AA10" s="50"/>
      <c r="AB10" s="50"/>
      <c r="AC10" s="50"/>
      <c r="AD10" s="51"/>
      <c r="AE10" s="47"/>
      <c r="AF10" s="23"/>
      <c r="AG10" s="23"/>
    </row>
    <row r="11" spans="1:33" x14ac:dyDescent="0.25">
      <c r="A11" s="32">
        <v>8</v>
      </c>
      <c r="B11" s="39"/>
      <c r="C11" s="39"/>
      <c r="D11" s="39"/>
      <c r="E11" s="39"/>
      <c r="F11" s="39"/>
      <c r="G11" s="39"/>
      <c r="H11" s="39"/>
      <c r="I11" s="40"/>
      <c r="J11" s="71"/>
      <c r="K11" s="23"/>
      <c r="L11" s="45"/>
      <c r="M11" s="46"/>
      <c r="N11" s="46"/>
      <c r="O11" s="46"/>
      <c r="P11" s="46"/>
      <c r="Q11" s="46"/>
      <c r="R11" s="46"/>
      <c r="S11" s="46"/>
      <c r="T11" s="46"/>
      <c r="U11" s="46"/>
      <c r="V11" s="46"/>
      <c r="W11" s="46"/>
      <c r="X11" s="46"/>
      <c r="Y11" s="46"/>
      <c r="Z11" s="46"/>
      <c r="AA11" s="46"/>
      <c r="AB11" s="46"/>
      <c r="AC11" s="46"/>
      <c r="AD11" s="46"/>
      <c r="AE11" s="47"/>
      <c r="AF11" s="23"/>
      <c r="AG11" s="23"/>
    </row>
    <row r="12" spans="1:33" x14ac:dyDescent="0.25">
      <c r="A12" s="32">
        <v>9</v>
      </c>
      <c r="B12" s="39"/>
      <c r="C12" s="39"/>
      <c r="D12" s="39"/>
      <c r="E12" s="39"/>
      <c r="F12" s="39"/>
      <c r="G12" s="39"/>
      <c r="H12" s="39"/>
      <c r="I12" s="40"/>
      <c r="J12" s="71"/>
      <c r="K12" s="23"/>
      <c r="L12" s="45"/>
      <c r="M12" s="52" t="s">
        <v>45</v>
      </c>
      <c r="N12" s="46"/>
      <c r="O12" s="46"/>
      <c r="P12" s="49" t="str">
        <f>INDEX($B$3:$J$104,MATCH(REPT("z",255),$B$3:$B$104),7)</f>
        <v>770.842.5902</v>
      </c>
      <c r="Q12" s="50"/>
      <c r="R12" s="50"/>
      <c r="S12" s="50"/>
      <c r="T12" s="50"/>
      <c r="U12" s="51"/>
      <c r="V12" s="46"/>
      <c r="W12" s="60" t="s">
        <v>99</v>
      </c>
      <c r="X12" s="46"/>
      <c r="Y12" s="49" t="str">
        <f>INDEX($B$3:$J$104,MATCH(REPT("z",255),$B$3:$B$104),8)</f>
        <v>Plan A</v>
      </c>
      <c r="Z12" s="50"/>
      <c r="AA12" s="50"/>
      <c r="AB12" s="50"/>
      <c r="AC12" s="50"/>
      <c r="AD12" s="51"/>
      <c r="AE12" s="47"/>
      <c r="AF12" s="23"/>
      <c r="AG12" s="23"/>
    </row>
    <row r="13" spans="1:33" x14ac:dyDescent="0.25">
      <c r="A13" s="32">
        <v>10</v>
      </c>
      <c r="B13" s="39"/>
      <c r="C13" s="39"/>
      <c r="D13" s="39"/>
      <c r="E13" s="39"/>
      <c r="F13" s="39"/>
      <c r="G13" s="39"/>
      <c r="H13" s="39"/>
      <c r="I13" s="40"/>
      <c r="J13" s="71"/>
      <c r="K13" s="23"/>
      <c r="L13" s="45"/>
      <c r="M13" s="46"/>
      <c r="N13" s="46"/>
      <c r="O13" s="46"/>
      <c r="P13" s="46"/>
      <c r="Q13" s="46"/>
      <c r="R13" s="46"/>
      <c r="S13" s="46"/>
      <c r="T13" s="46"/>
      <c r="U13" s="46"/>
      <c r="V13" s="46"/>
      <c r="W13" s="46"/>
      <c r="X13" s="46"/>
      <c r="Y13" s="46"/>
      <c r="Z13" s="46"/>
      <c r="AA13" s="46"/>
      <c r="AB13" s="46"/>
      <c r="AC13" s="46"/>
      <c r="AD13" s="46"/>
      <c r="AE13" s="47"/>
      <c r="AF13" s="23"/>
      <c r="AG13" s="23"/>
    </row>
    <row r="14" spans="1:33" x14ac:dyDescent="0.25">
      <c r="A14" s="32">
        <v>11</v>
      </c>
      <c r="B14" s="39"/>
      <c r="C14" s="39"/>
      <c r="D14" s="39"/>
      <c r="E14" s="39"/>
      <c r="F14" s="39"/>
      <c r="G14" s="39"/>
      <c r="H14" s="39"/>
      <c r="I14" s="40"/>
      <c r="J14" s="71"/>
      <c r="K14" s="23"/>
      <c r="L14" s="45"/>
      <c r="M14" s="52" t="s">
        <v>90</v>
      </c>
      <c r="N14" s="46"/>
      <c r="O14" s="46"/>
      <c r="P14" s="46"/>
      <c r="Q14" s="46"/>
      <c r="R14" s="46"/>
      <c r="S14" s="46"/>
      <c r="T14" s="46"/>
      <c r="U14" s="46"/>
      <c r="V14" s="46"/>
      <c r="W14" s="46"/>
      <c r="X14" s="46"/>
      <c r="Y14" s="49" t="str">
        <f>TEXT(INDEX($B$3:$J$104,MATCH(REPT("z",255),$B$3:$B$104),9),"$#,###.00")</f>
        <v>$124,533.45</v>
      </c>
      <c r="Z14" s="50"/>
      <c r="AA14" s="50"/>
      <c r="AB14" s="50"/>
      <c r="AC14" s="50"/>
      <c r="AD14" s="51"/>
      <c r="AE14" s="47"/>
      <c r="AF14" s="23"/>
      <c r="AG14" s="23"/>
    </row>
    <row r="15" spans="1:33" x14ac:dyDescent="0.25">
      <c r="A15" s="32">
        <v>12</v>
      </c>
      <c r="B15" s="39"/>
      <c r="C15" s="39"/>
      <c r="D15" s="39"/>
      <c r="E15" s="39"/>
      <c r="F15" s="39"/>
      <c r="G15" s="39"/>
      <c r="H15" s="39"/>
      <c r="I15" s="40"/>
      <c r="J15" s="71"/>
      <c r="K15" s="23"/>
      <c r="L15" s="45"/>
      <c r="M15" s="46"/>
      <c r="N15" s="46"/>
      <c r="O15" s="46"/>
      <c r="P15" s="46"/>
      <c r="Q15" s="46"/>
      <c r="R15" s="46"/>
      <c r="S15" s="46"/>
      <c r="T15" s="46"/>
      <c r="U15" s="46"/>
      <c r="V15" s="46"/>
      <c r="W15" s="46"/>
      <c r="X15" s="46"/>
      <c r="Y15" s="46"/>
      <c r="Z15" s="46"/>
      <c r="AA15" s="46"/>
      <c r="AB15" s="46"/>
      <c r="AC15" s="46"/>
      <c r="AD15" s="46"/>
      <c r="AE15" s="47"/>
      <c r="AF15" s="23"/>
      <c r="AG15" s="23"/>
    </row>
    <row r="16" spans="1:33" x14ac:dyDescent="0.25">
      <c r="A16" s="32">
        <v>13</v>
      </c>
      <c r="B16" s="39"/>
      <c r="C16" s="39"/>
      <c r="D16" s="39"/>
      <c r="E16" s="39"/>
      <c r="F16" s="39"/>
      <c r="G16" s="39"/>
      <c r="H16" s="39"/>
      <c r="I16" s="40"/>
      <c r="J16" s="71"/>
      <c r="K16" s="23"/>
      <c r="L16" s="303" t="s">
        <v>91</v>
      </c>
      <c r="M16" s="304"/>
      <c r="N16" s="304"/>
      <c r="O16" s="304"/>
      <c r="P16" s="304"/>
      <c r="Q16" s="304"/>
      <c r="R16" s="304"/>
      <c r="S16" s="304"/>
      <c r="T16" s="304"/>
      <c r="U16" s="304"/>
      <c r="V16" s="304"/>
      <c r="W16" s="304"/>
      <c r="X16" s="304"/>
      <c r="Y16" s="304"/>
      <c r="Z16" s="304"/>
      <c r="AA16" s="304"/>
      <c r="AB16" s="304"/>
      <c r="AC16" s="304"/>
      <c r="AD16" s="304"/>
      <c r="AE16" s="305"/>
      <c r="AF16" s="23"/>
      <c r="AG16" s="23"/>
    </row>
    <row r="17" spans="1:33" ht="16.5" thickBot="1" x14ac:dyDescent="0.3">
      <c r="A17" s="32">
        <v>14</v>
      </c>
      <c r="B17" s="39"/>
      <c r="C17" s="39"/>
      <c r="D17" s="39"/>
      <c r="E17" s="39"/>
      <c r="F17" s="39"/>
      <c r="G17" s="39"/>
      <c r="H17" s="39"/>
      <c r="I17" s="40"/>
      <c r="J17" s="71"/>
      <c r="K17" s="23"/>
      <c r="L17" s="61"/>
      <c r="M17" s="62"/>
      <c r="N17" s="62"/>
      <c r="O17" s="62"/>
      <c r="P17" s="62"/>
      <c r="Q17" s="62"/>
      <c r="R17" s="62"/>
      <c r="S17" s="62"/>
      <c r="T17" s="62"/>
      <c r="U17" s="62"/>
      <c r="V17" s="62"/>
      <c r="W17" s="62"/>
      <c r="X17" s="62"/>
      <c r="Y17" s="62"/>
      <c r="Z17" s="62"/>
      <c r="AA17" s="62"/>
      <c r="AB17" s="62"/>
      <c r="AC17" s="62"/>
      <c r="AD17" s="62"/>
      <c r="AE17" s="63"/>
      <c r="AF17" s="23"/>
      <c r="AG17" s="23"/>
    </row>
    <row r="18" spans="1:33" x14ac:dyDescent="0.25">
      <c r="A18" s="32">
        <v>15</v>
      </c>
      <c r="B18" s="39"/>
      <c r="C18" s="39"/>
      <c r="D18" s="39"/>
      <c r="E18" s="39"/>
      <c r="F18" s="39"/>
      <c r="G18" s="39"/>
      <c r="H18" s="39"/>
      <c r="I18" s="40"/>
      <c r="J18" s="71"/>
      <c r="K18" s="23"/>
      <c r="L18" s="23"/>
      <c r="M18" s="23"/>
      <c r="N18" s="23"/>
      <c r="O18" s="23"/>
      <c r="P18" s="23"/>
      <c r="Q18" s="23"/>
      <c r="R18" s="23"/>
      <c r="S18" s="23"/>
      <c r="T18" s="23"/>
      <c r="U18" s="23"/>
      <c r="V18" s="23"/>
      <c r="W18" s="23"/>
      <c r="X18" s="23"/>
      <c r="Y18" s="23"/>
      <c r="Z18" s="23"/>
      <c r="AA18" s="23"/>
      <c r="AB18" s="23"/>
      <c r="AC18" s="23"/>
      <c r="AD18" s="23"/>
      <c r="AE18" s="23"/>
      <c r="AF18" s="23"/>
      <c r="AG18" s="23"/>
    </row>
    <row r="19" spans="1:33" x14ac:dyDescent="0.25">
      <c r="A19" s="32">
        <v>16</v>
      </c>
      <c r="B19" s="39"/>
      <c r="C19" s="39"/>
      <c r="D19" s="39"/>
      <c r="E19" s="39"/>
      <c r="F19" s="39"/>
      <c r="G19" s="39"/>
      <c r="H19" s="39"/>
      <c r="I19" s="40"/>
      <c r="J19" s="71"/>
      <c r="K19" s="23"/>
      <c r="L19" s="23"/>
      <c r="M19" s="23"/>
      <c r="N19" s="23"/>
      <c r="O19" s="23"/>
      <c r="P19" s="23"/>
      <c r="Q19" s="23"/>
      <c r="R19" s="23"/>
      <c r="S19" s="23"/>
      <c r="T19" s="23"/>
      <c r="U19" s="23"/>
      <c r="V19" s="23"/>
      <c r="W19" s="23"/>
      <c r="X19" s="23"/>
      <c r="Y19" s="23"/>
      <c r="Z19" s="23"/>
      <c r="AA19" s="23"/>
      <c r="AB19" s="23"/>
      <c r="AC19" s="23"/>
      <c r="AD19" s="23"/>
      <c r="AE19" s="23"/>
      <c r="AF19" s="23"/>
      <c r="AG19" s="23"/>
    </row>
    <row r="20" spans="1:33" x14ac:dyDescent="0.25">
      <c r="A20" s="32">
        <v>17</v>
      </c>
      <c r="B20" s="39"/>
      <c r="C20" s="39"/>
      <c r="D20" s="39"/>
      <c r="E20" s="39"/>
      <c r="F20" s="39"/>
      <c r="G20" s="39"/>
      <c r="H20" s="39"/>
      <c r="I20" s="40"/>
      <c r="J20" s="71"/>
      <c r="K20" s="23"/>
      <c r="L20" s="23"/>
      <c r="M20" s="23"/>
      <c r="N20" s="23"/>
      <c r="O20" s="23"/>
      <c r="P20" s="23"/>
      <c r="Q20" s="23"/>
      <c r="R20" s="23"/>
      <c r="S20" s="23"/>
      <c r="T20" s="23"/>
      <c r="U20" s="23"/>
      <c r="V20" s="23"/>
      <c r="W20" s="23"/>
      <c r="X20" s="23"/>
      <c r="Y20" s="23"/>
      <c r="Z20" s="23"/>
      <c r="AA20" s="23"/>
      <c r="AB20" s="23"/>
      <c r="AC20" s="23"/>
      <c r="AD20" s="23"/>
      <c r="AE20" s="23"/>
      <c r="AF20" s="23"/>
      <c r="AG20" s="23"/>
    </row>
    <row r="21" spans="1:33" x14ac:dyDescent="0.25">
      <c r="A21" s="32">
        <v>18</v>
      </c>
      <c r="B21" s="39"/>
      <c r="C21" s="39"/>
      <c r="D21" s="39"/>
      <c r="E21" s="39"/>
      <c r="F21" s="39"/>
      <c r="G21" s="39"/>
      <c r="H21" s="39"/>
      <c r="I21" s="40"/>
      <c r="J21" s="71"/>
      <c r="K21" s="23"/>
      <c r="L21" s="23"/>
      <c r="M21" s="23"/>
      <c r="N21" s="23"/>
      <c r="O21" s="23"/>
      <c r="P21" s="23"/>
      <c r="Q21" s="23"/>
      <c r="R21" s="23"/>
      <c r="S21" s="23"/>
      <c r="T21" s="23"/>
      <c r="U21" s="23"/>
      <c r="V21" s="23"/>
      <c r="W21" s="23"/>
      <c r="X21" s="23"/>
      <c r="Y21" s="23"/>
      <c r="Z21" s="23"/>
      <c r="AA21" s="23"/>
      <c r="AB21" s="23"/>
      <c r="AC21" s="23"/>
      <c r="AD21" s="23"/>
      <c r="AE21" s="23"/>
      <c r="AF21" s="23"/>
      <c r="AG21" s="23"/>
    </row>
    <row r="22" spans="1:33" x14ac:dyDescent="0.25">
      <c r="A22" s="32">
        <v>19</v>
      </c>
      <c r="B22" s="39"/>
      <c r="C22" s="39"/>
      <c r="D22" s="39"/>
      <c r="E22" s="39"/>
      <c r="F22" s="39"/>
      <c r="G22" s="39"/>
      <c r="H22" s="39"/>
      <c r="I22" s="40"/>
      <c r="J22" s="71"/>
      <c r="K22" s="23"/>
      <c r="L22" s="23"/>
      <c r="M22" s="23"/>
      <c r="N22" s="23"/>
      <c r="O22" s="23"/>
      <c r="P22" s="23"/>
      <c r="Q22" s="23"/>
      <c r="R22" s="23"/>
      <c r="S22" s="23"/>
      <c r="T22" s="23"/>
      <c r="U22" s="23"/>
      <c r="V22" s="23"/>
      <c r="W22" s="23"/>
      <c r="X22" s="23"/>
      <c r="Y22" s="23"/>
      <c r="Z22" s="23"/>
      <c r="AA22" s="23"/>
      <c r="AB22" s="23"/>
      <c r="AC22" s="23"/>
      <c r="AD22" s="23"/>
      <c r="AE22" s="23"/>
      <c r="AF22" s="23"/>
      <c r="AG22" s="23"/>
    </row>
    <row r="23" spans="1:33" x14ac:dyDescent="0.25">
      <c r="A23" s="32">
        <v>20</v>
      </c>
      <c r="B23" s="39"/>
      <c r="C23" s="39"/>
      <c r="D23" s="39"/>
      <c r="E23" s="39"/>
      <c r="F23" s="39"/>
      <c r="G23" s="39"/>
      <c r="H23" s="39"/>
      <c r="I23" s="40"/>
      <c r="J23" s="71"/>
      <c r="K23" s="23"/>
      <c r="L23" s="23"/>
      <c r="M23" s="23"/>
      <c r="N23" s="23"/>
      <c r="O23" s="23"/>
      <c r="P23" s="23"/>
      <c r="Q23" s="23"/>
      <c r="R23" s="23"/>
      <c r="S23" s="23"/>
      <c r="T23" s="23"/>
      <c r="U23" s="23"/>
      <c r="V23" s="23"/>
      <c r="W23" s="23"/>
      <c r="X23" s="23"/>
      <c r="Y23" s="23"/>
      <c r="Z23" s="23"/>
      <c r="AA23" s="23"/>
      <c r="AB23" s="23"/>
      <c r="AC23" s="23"/>
      <c r="AD23" s="23"/>
      <c r="AE23" s="23"/>
      <c r="AF23" s="23"/>
      <c r="AG23" s="23"/>
    </row>
    <row r="24" spans="1:33" x14ac:dyDescent="0.25">
      <c r="A24" s="32">
        <v>21</v>
      </c>
      <c r="B24" s="39"/>
      <c r="C24" s="39"/>
      <c r="D24" s="39"/>
      <c r="E24" s="39"/>
      <c r="F24" s="39"/>
      <c r="G24" s="39"/>
      <c r="H24" s="39"/>
      <c r="I24" s="40"/>
      <c r="J24" s="71"/>
      <c r="K24" s="23"/>
      <c r="L24" s="23"/>
      <c r="M24" s="23"/>
      <c r="N24" s="23"/>
      <c r="O24" s="23"/>
      <c r="P24" s="23"/>
      <c r="Q24" s="23"/>
      <c r="R24" s="23"/>
      <c r="S24" s="23"/>
      <c r="T24" s="23"/>
      <c r="U24" s="23"/>
      <c r="V24" s="23"/>
      <c r="W24" s="23"/>
      <c r="X24" s="23"/>
      <c r="Y24" s="23"/>
      <c r="Z24" s="23"/>
      <c r="AA24" s="23"/>
      <c r="AB24" s="23"/>
      <c r="AC24" s="23"/>
      <c r="AD24" s="23"/>
      <c r="AE24" s="23"/>
      <c r="AF24" s="23"/>
      <c r="AG24" s="23"/>
    </row>
    <row r="25" spans="1:33" x14ac:dyDescent="0.25">
      <c r="A25" s="32">
        <v>22</v>
      </c>
      <c r="B25" s="39"/>
      <c r="C25" s="39"/>
      <c r="D25" s="39"/>
      <c r="E25" s="39"/>
      <c r="F25" s="39"/>
      <c r="G25" s="39"/>
      <c r="H25" s="39"/>
      <c r="I25" s="40"/>
      <c r="J25" s="71"/>
      <c r="K25" s="23"/>
      <c r="L25" s="23"/>
      <c r="M25" s="23"/>
      <c r="N25" s="23"/>
      <c r="O25" s="23"/>
      <c r="P25" s="23"/>
      <c r="Q25" s="23"/>
      <c r="R25" s="23"/>
      <c r="S25" s="23"/>
      <c r="T25" s="23"/>
      <c r="U25" s="23"/>
      <c r="V25" s="23"/>
      <c r="W25" s="23"/>
      <c r="X25" s="23"/>
      <c r="Y25" s="23"/>
      <c r="Z25" s="23"/>
      <c r="AA25" s="23"/>
      <c r="AB25" s="23"/>
      <c r="AC25" s="23"/>
      <c r="AD25" s="23"/>
      <c r="AE25" s="23"/>
      <c r="AF25" s="23"/>
      <c r="AG25" s="23"/>
    </row>
    <row r="26" spans="1:33" x14ac:dyDescent="0.25">
      <c r="A26" s="32">
        <v>23</v>
      </c>
      <c r="B26" s="39"/>
      <c r="C26" s="39"/>
      <c r="D26" s="39"/>
      <c r="E26" s="39"/>
      <c r="F26" s="39"/>
      <c r="G26" s="39"/>
      <c r="H26" s="39"/>
      <c r="I26" s="40"/>
      <c r="J26" s="71"/>
      <c r="K26" s="23"/>
      <c r="L26" s="23"/>
      <c r="M26" s="23"/>
      <c r="N26" s="23"/>
      <c r="O26" s="23"/>
      <c r="P26" s="23"/>
      <c r="Q26" s="23"/>
      <c r="R26" s="23"/>
      <c r="S26" s="23"/>
      <c r="T26" s="23"/>
      <c r="U26" s="23"/>
      <c r="V26" s="23"/>
      <c r="W26" s="23"/>
      <c r="X26" s="23"/>
      <c r="Y26" s="23"/>
      <c r="Z26" s="23"/>
      <c r="AA26" s="23"/>
      <c r="AB26" s="23"/>
      <c r="AC26" s="23"/>
      <c r="AD26" s="23"/>
      <c r="AE26" s="23"/>
      <c r="AF26" s="23"/>
      <c r="AG26" s="23"/>
    </row>
    <row r="27" spans="1:33" x14ac:dyDescent="0.25">
      <c r="A27" s="32">
        <v>24</v>
      </c>
      <c r="B27" s="39"/>
      <c r="C27" s="39"/>
      <c r="D27" s="39"/>
      <c r="E27" s="39"/>
      <c r="F27" s="39"/>
      <c r="G27" s="39"/>
      <c r="H27" s="39"/>
      <c r="I27" s="40"/>
      <c r="J27" s="71"/>
      <c r="K27" s="23"/>
      <c r="L27" s="23"/>
      <c r="M27" s="23"/>
      <c r="N27" s="23"/>
      <c r="O27" s="23"/>
      <c r="P27" s="23"/>
      <c r="Q27" s="23"/>
      <c r="R27" s="23"/>
      <c r="S27" s="23"/>
      <c r="T27" s="23"/>
      <c r="U27" s="23"/>
      <c r="V27" s="23"/>
      <c r="W27" s="23"/>
      <c r="X27" s="23"/>
      <c r="Y27" s="23"/>
      <c r="Z27" s="23"/>
      <c r="AA27" s="23"/>
      <c r="AB27" s="23"/>
      <c r="AC27" s="23"/>
      <c r="AD27" s="23"/>
      <c r="AE27" s="23"/>
      <c r="AF27" s="23"/>
      <c r="AG27" s="23"/>
    </row>
    <row r="28" spans="1:33" x14ac:dyDescent="0.25">
      <c r="A28" s="32">
        <v>25</v>
      </c>
      <c r="B28" s="39"/>
      <c r="C28" s="39"/>
      <c r="D28" s="39"/>
      <c r="E28" s="39"/>
      <c r="F28" s="39"/>
      <c r="G28" s="39"/>
      <c r="H28" s="39"/>
      <c r="I28" s="40"/>
      <c r="J28" s="71"/>
      <c r="K28" s="23"/>
      <c r="L28" s="23"/>
      <c r="M28" s="23"/>
      <c r="N28" s="23"/>
      <c r="O28" s="23"/>
      <c r="P28" s="23"/>
      <c r="Q28" s="23"/>
      <c r="R28" s="23"/>
      <c r="S28" s="23"/>
      <c r="T28" s="23"/>
      <c r="U28" s="23"/>
      <c r="V28" s="23"/>
      <c r="W28" s="23"/>
      <c r="X28" s="23"/>
      <c r="Y28" s="23"/>
      <c r="Z28" s="23"/>
      <c r="AA28" s="23"/>
      <c r="AB28" s="23"/>
      <c r="AC28" s="23"/>
      <c r="AD28" s="23"/>
      <c r="AE28" s="23"/>
      <c r="AF28" s="23"/>
      <c r="AG28" s="23"/>
    </row>
  </sheetData>
  <mergeCells count="2">
    <mergeCell ref="L4:AE4"/>
    <mergeCell ref="L16:AE16"/>
  </mergeCells>
  <pageMargins left="0.7" right="0.7" top="0.75" bottom="0.75" header="0.3" footer="0.3"/>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dimension ref="A1:AG28"/>
  <sheetViews>
    <sheetView showGridLines="0" workbookViewId="0">
      <selection activeCell="Q1" sqref="Q1"/>
    </sheetView>
  </sheetViews>
  <sheetFormatPr defaultRowHeight="15.75" x14ac:dyDescent="0.25"/>
  <cols>
    <col min="1" max="1" width="7.875" bestFit="1" customWidth="1"/>
    <col min="2" max="3" width="10" bestFit="1" customWidth="1"/>
    <col min="4" max="4" width="19" bestFit="1" customWidth="1"/>
    <col min="5" max="5" width="8.375" bestFit="1" customWidth="1"/>
    <col min="6" max="6" width="5.375" bestFit="1" customWidth="1"/>
    <col min="7" max="7" width="5.875" bestFit="1" customWidth="1"/>
    <col min="8" max="8" width="11.875" bestFit="1" customWidth="1"/>
    <col min="9" max="9" width="11.875" customWidth="1"/>
    <col min="10" max="10" width="12.125" bestFit="1" customWidth="1"/>
    <col min="11" max="11" width="3.75" customWidth="1"/>
    <col min="12" max="31" width="3.625" customWidth="1"/>
    <col min="32" max="32" width="3" customWidth="1"/>
  </cols>
  <sheetData>
    <row r="1" spans="1:33" x14ac:dyDescent="0.25">
      <c r="A1" s="16"/>
      <c r="B1" s="16"/>
      <c r="C1" s="16"/>
      <c r="D1" s="16"/>
      <c r="E1" s="16"/>
      <c r="F1" s="16"/>
      <c r="G1" s="16"/>
      <c r="H1" s="16"/>
      <c r="I1" s="16"/>
      <c r="J1" s="16"/>
      <c r="K1" s="16"/>
      <c r="L1" s="16"/>
      <c r="M1" s="16"/>
      <c r="N1" s="16"/>
      <c r="O1" s="16"/>
      <c r="P1" s="16"/>
      <c r="Q1" s="16"/>
      <c r="R1" s="16"/>
      <c r="S1" s="17">
        <f t="shared" ref="S1:AB1" si="0">VLOOKUP(MAX($A$3:$A$147),$A$3:$H$147,2)</f>
        <v>0</v>
      </c>
      <c r="T1" s="17">
        <f t="shared" si="0"/>
        <v>0</v>
      </c>
      <c r="U1" s="17">
        <f t="shared" si="0"/>
        <v>0</v>
      </c>
      <c r="V1" s="17">
        <f t="shared" si="0"/>
        <v>0</v>
      </c>
      <c r="W1" s="17">
        <f t="shared" si="0"/>
        <v>0</v>
      </c>
      <c r="X1" s="17">
        <f t="shared" si="0"/>
        <v>0</v>
      </c>
      <c r="Y1" s="17">
        <f t="shared" si="0"/>
        <v>0</v>
      </c>
      <c r="Z1" s="17">
        <f t="shared" si="0"/>
        <v>0</v>
      </c>
      <c r="AA1" s="17">
        <f t="shared" si="0"/>
        <v>0</v>
      </c>
      <c r="AB1" s="17">
        <f t="shared" si="0"/>
        <v>0</v>
      </c>
      <c r="AC1" s="18"/>
      <c r="AD1" s="18"/>
      <c r="AE1" s="18"/>
      <c r="AF1" s="18"/>
      <c r="AG1" s="18"/>
    </row>
    <row r="2" spans="1:33" ht="16.5" thickBot="1" x14ac:dyDescent="0.3">
      <c r="A2" s="73"/>
      <c r="B2" s="20"/>
      <c r="C2" s="20"/>
      <c r="D2" s="20"/>
      <c r="E2" s="20"/>
      <c r="F2" s="22"/>
      <c r="G2" s="20"/>
      <c r="H2" s="20"/>
      <c r="I2" s="22"/>
      <c r="J2" s="20"/>
      <c r="K2" s="23"/>
      <c r="L2" s="23"/>
      <c r="M2" s="23"/>
      <c r="N2" s="23"/>
      <c r="O2" s="23"/>
      <c r="P2" s="23"/>
      <c r="Q2" s="23"/>
      <c r="R2" s="23"/>
      <c r="S2" s="23"/>
      <c r="T2" s="23"/>
      <c r="U2" s="23"/>
      <c r="V2" s="23"/>
      <c r="W2" s="23"/>
      <c r="X2" s="23"/>
      <c r="Y2" s="23"/>
      <c r="Z2" s="23"/>
      <c r="AA2" s="23"/>
      <c r="AB2" s="23"/>
      <c r="AC2" s="23"/>
      <c r="AD2" s="23"/>
      <c r="AE2" s="23"/>
      <c r="AF2" s="23"/>
      <c r="AG2" s="23"/>
    </row>
    <row r="3" spans="1:33" x14ac:dyDescent="0.25">
      <c r="A3" s="68" t="s">
        <v>38</v>
      </c>
      <c r="B3" s="69" t="s">
        <v>39</v>
      </c>
      <c r="C3" s="69" t="s">
        <v>40</v>
      </c>
      <c r="D3" s="69" t="s">
        <v>41</v>
      </c>
      <c r="E3" s="68" t="s">
        <v>42</v>
      </c>
      <c r="F3" s="68" t="s">
        <v>43</v>
      </c>
      <c r="G3" s="68" t="s">
        <v>44</v>
      </c>
      <c r="H3" s="68" t="s">
        <v>45</v>
      </c>
      <c r="I3" s="68" t="s">
        <v>46</v>
      </c>
      <c r="J3" s="68" t="s">
        <v>47</v>
      </c>
      <c r="K3" s="23"/>
      <c r="L3" s="29"/>
      <c r="M3" s="30"/>
      <c r="N3" s="30"/>
      <c r="O3" s="30"/>
      <c r="P3" s="30"/>
      <c r="Q3" s="30"/>
      <c r="R3" s="30"/>
      <c r="S3" s="30"/>
      <c r="T3" s="30"/>
      <c r="U3" s="30"/>
      <c r="V3" s="30"/>
      <c r="W3" s="30"/>
      <c r="X3" s="30"/>
      <c r="Y3" s="30"/>
      <c r="Z3" s="30"/>
      <c r="AA3" s="30"/>
      <c r="AB3" s="30"/>
      <c r="AC3" s="30"/>
      <c r="AD3" s="30"/>
      <c r="AE3" s="31"/>
      <c r="AF3" s="23"/>
      <c r="AG3" s="23"/>
    </row>
    <row r="4" spans="1:33" x14ac:dyDescent="0.25">
      <c r="A4" s="32">
        <v>1</v>
      </c>
      <c r="B4" s="33" t="s">
        <v>48</v>
      </c>
      <c r="C4" s="34" t="s">
        <v>49</v>
      </c>
      <c r="D4" s="34" t="s">
        <v>50</v>
      </c>
      <c r="E4" s="34" t="s">
        <v>51</v>
      </c>
      <c r="F4" s="35" t="s">
        <v>52</v>
      </c>
      <c r="G4" s="35">
        <v>30062</v>
      </c>
      <c r="H4" s="33" t="s">
        <v>53</v>
      </c>
      <c r="I4" s="37" t="s">
        <v>54</v>
      </c>
      <c r="J4" s="70">
        <v>157665</v>
      </c>
      <c r="K4" s="23"/>
      <c r="L4" s="300" t="s">
        <v>55</v>
      </c>
      <c r="M4" s="301"/>
      <c r="N4" s="301"/>
      <c r="O4" s="301"/>
      <c r="P4" s="301"/>
      <c r="Q4" s="301"/>
      <c r="R4" s="301"/>
      <c r="S4" s="301"/>
      <c r="T4" s="301"/>
      <c r="U4" s="301"/>
      <c r="V4" s="301"/>
      <c r="W4" s="301"/>
      <c r="X4" s="301"/>
      <c r="Y4" s="301"/>
      <c r="Z4" s="301"/>
      <c r="AA4" s="301"/>
      <c r="AB4" s="301"/>
      <c r="AC4" s="301"/>
      <c r="AD4" s="301"/>
      <c r="AE4" s="302"/>
      <c r="AF4" s="23"/>
      <c r="AG4" s="23"/>
    </row>
    <row r="5" spans="1:33" x14ac:dyDescent="0.25">
      <c r="A5" s="32">
        <v>2</v>
      </c>
      <c r="B5" s="39" t="s">
        <v>56</v>
      </c>
      <c r="C5" s="39" t="s">
        <v>57</v>
      </c>
      <c r="D5" s="39" t="s">
        <v>58</v>
      </c>
      <c r="E5" s="39" t="s">
        <v>51</v>
      </c>
      <c r="F5" s="40" t="s">
        <v>52</v>
      </c>
      <c r="G5" s="40">
        <v>30063</v>
      </c>
      <c r="H5" s="42" t="s">
        <v>59</v>
      </c>
      <c r="I5" s="43" t="s">
        <v>60</v>
      </c>
      <c r="J5" s="71">
        <v>156340</v>
      </c>
      <c r="K5" s="23"/>
      <c r="L5" s="45"/>
      <c r="M5" s="46"/>
      <c r="N5" s="46"/>
      <c r="O5" s="46"/>
      <c r="P5" s="46"/>
      <c r="Q5" s="46"/>
      <c r="R5" s="46"/>
      <c r="S5" s="46"/>
      <c r="T5" s="46"/>
      <c r="U5" s="46"/>
      <c r="V5" s="46"/>
      <c r="W5" s="46"/>
      <c r="X5" s="46"/>
      <c r="Y5" s="46"/>
      <c r="Z5" s="46"/>
      <c r="AA5" s="46"/>
      <c r="AB5" s="46"/>
      <c r="AC5" s="46"/>
      <c r="AD5" s="46"/>
      <c r="AE5" s="47"/>
      <c r="AF5" s="23"/>
      <c r="AG5" s="23"/>
    </row>
    <row r="6" spans="1:33" x14ac:dyDescent="0.25">
      <c r="A6" s="32">
        <v>3</v>
      </c>
      <c r="B6" s="39" t="s">
        <v>61</v>
      </c>
      <c r="C6" s="42" t="s">
        <v>62</v>
      </c>
      <c r="D6" s="39" t="s">
        <v>63</v>
      </c>
      <c r="E6" s="39" t="s">
        <v>51</v>
      </c>
      <c r="F6" s="40" t="s">
        <v>52</v>
      </c>
      <c r="G6" s="40">
        <v>30064</v>
      </c>
      <c r="H6" s="42" t="s">
        <v>64</v>
      </c>
      <c r="I6" s="43" t="s">
        <v>65</v>
      </c>
      <c r="J6" s="71">
        <v>81480</v>
      </c>
      <c r="K6" s="23"/>
      <c r="L6" s="45"/>
      <c r="M6" s="48" t="s">
        <v>39</v>
      </c>
      <c r="N6" s="46"/>
      <c r="O6" s="46"/>
      <c r="P6" s="76" t="str">
        <f>INDEX(B:B,COUNTA(B:B)+2,1)</f>
        <v>Stephen</v>
      </c>
      <c r="Q6" s="50"/>
      <c r="R6" s="50"/>
      <c r="S6" s="50"/>
      <c r="T6" s="50"/>
      <c r="U6" s="51"/>
      <c r="V6" s="46"/>
      <c r="W6" s="52" t="s">
        <v>42</v>
      </c>
      <c r="X6" s="46"/>
      <c r="Y6" s="49" t="str">
        <f>INDEX(E:E,COUNTA(E:E)+2,1)</f>
        <v>West Cola</v>
      </c>
      <c r="Z6" s="50"/>
      <c r="AA6" s="50"/>
      <c r="AB6" s="50"/>
      <c r="AC6" s="50"/>
      <c r="AD6" s="51"/>
      <c r="AE6" s="47"/>
      <c r="AF6" s="23"/>
      <c r="AG6" s="23"/>
    </row>
    <row r="7" spans="1:33" x14ac:dyDescent="0.25">
      <c r="A7" s="32">
        <v>4</v>
      </c>
      <c r="B7" s="39" t="s">
        <v>66</v>
      </c>
      <c r="C7" s="42" t="s">
        <v>67</v>
      </c>
      <c r="D7" s="39" t="s">
        <v>68</v>
      </c>
      <c r="E7" s="39" t="s">
        <v>51</v>
      </c>
      <c r="F7" s="40" t="s">
        <v>52</v>
      </c>
      <c r="G7" s="40">
        <v>30065</v>
      </c>
      <c r="H7" s="42" t="s">
        <v>69</v>
      </c>
      <c r="I7" s="43" t="s">
        <v>54</v>
      </c>
      <c r="J7" s="71">
        <v>202578</v>
      </c>
      <c r="K7" s="23"/>
      <c r="L7" s="45"/>
      <c r="M7" s="46"/>
      <c r="N7" s="46"/>
      <c r="O7" s="46"/>
      <c r="P7" s="46"/>
      <c r="Q7" s="46"/>
      <c r="R7" s="46"/>
      <c r="S7" s="46"/>
      <c r="T7" s="46"/>
      <c r="U7" s="46"/>
      <c r="V7" s="46"/>
      <c r="W7" s="46"/>
      <c r="X7" s="46"/>
      <c r="Y7" s="46"/>
      <c r="Z7" s="46"/>
      <c r="AA7" s="46"/>
      <c r="AB7" s="46"/>
      <c r="AC7" s="46"/>
      <c r="AD7" s="46"/>
      <c r="AE7" s="47"/>
      <c r="AF7" s="23"/>
      <c r="AG7" s="23"/>
    </row>
    <row r="8" spans="1:33" x14ac:dyDescent="0.25">
      <c r="A8" s="32">
        <v>5</v>
      </c>
      <c r="B8" s="42" t="s">
        <v>70</v>
      </c>
      <c r="C8" s="39" t="s">
        <v>71</v>
      </c>
      <c r="D8" s="39" t="s">
        <v>72</v>
      </c>
      <c r="E8" s="39" t="s">
        <v>51</v>
      </c>
      <c r="F8" s="40" t="s">
        <v>52</v>
      </c>
      <c r="G8" s="40">
        <v>30066</v>
      </c>
      <c r="H8" s="42" t="s">
        <v>73</v>
      </c>
      <c r="I8" s="43" t="s">
        <v>60</v>
      </c>
      <c r="J8" s="71">
        <v>177209</v>
      </c>
      <c r="K8" s="23"/>
      <c r="L8" s="45"/>
      <c r="M8" s="48" t="s">
        <v>40</v>
      </c>
      <c r="N8" s="46"/>
      <c r="O8" s="46"/>
      <c r="P8" s="49" t="str">
        <f>INDEX(C:C,COUNTA(C:C)+2,1)</f>
        <v>Keene</v>
      </c>
      <c r="Q8" s="50"/>
      <c r="R8" s="50"/>
      <c r="S8" s="50"/>
      <c r="T8" s="50"/>
      <c r="U8" s="51"/>
      <c r="V8" s="46"/>
      <c r="W8" s="52" t="s">
        <v>43</v>
      </c>
      <c r="X8" s="46"/>
      <c r="Y8" s="49" t="str">
        <f>INDEX(F:F,COUNTA(F:F)+2,1)</f>
        <v>SC</v>
      </c>
      <c r="Z8" s="50"/>
      <c r="AA8" s="50"/>
      <c r="AB8" s="50"/>
      <c r="AC8" s="50"/>
      <c r="AD8" s="51"/>
      <c r="AE8" s="47"/>
      <c r="AF8" s="23"/>
      <c r="AG8" s="23"/>
    </row>
    <row r="9" spans="1:33" x14ac:dyDescent="0.25">
      <c r="A9" s="32">
        <v>6</v>
      </c>
      <c r="B9" s="39" t="s">
        <v>74</v>
      </c>
      <c r="C9" s="39" t="s">
        <v>75</v>
      </c>
      <c r="D9" s="39" t="s">
        <v>76</v>
      </c>
      <c r="E9" s="39" t="s">
        <v>77</v>
      </c>
      <c r="F9" s="40" t="s">
        <v>52</v>
      </c>
      <c r="G9" s="40">
        <v>30092</v>
      </c>
      <c r="H9" s="42" t="s">
        <v>78</v>
      </c>
      <c r="I9" s="43" t="s">
        <v>65</v>
      </c>
      <c r="J9" s="71">
        <v>212254.23</v>
      </c>
      <c r="K9" s="23"/>
      <c r="L9" s="45"/>
      <c r="M9" s="46"/>
      <c r="N9" s="46"/>
      <c r="O9" s="46"/>
      <c r="P9" s="46"/>
      <c r="Q9" s="46"/>
      <c r="R9" s="46"/>
      <c r="S9" s="46"/>
      <c r="T9" s="46"/>
      <c r="U9" s="46"/>
      <c r="V9" s="46"/>
      <c r="W9" s="46"/>
      <c r="X9" s="46"/>
      <c r="Y9" s="46"/>
      <c r="Z9" s="46"/>
      <c r="AA9" s="46"/>
      <c r="AB9" s="46"/>
      <c r="AC9" s="46"/>
      <c r="AD9" s="46"/>
      <c r="AE9" s="47"/>
      <c r="AF9" s="23"/>
      <c r="AG9" s="23"/>
    </row>
    <row r="10" spans="1:33" x14ac:dyDescent="0.25">
      <c r="A10" s="32">
        <v>7</v>
      </c>
      <c r="B10" s="39" t="s">
        <v>79</v>
      </c>
      <c r="C10" s="39" t="s">
        <v>80</v>
      </c>
      <c r="D10" s="39" t="s">
        <v>50</v>
      </c>
      <c r="E10" s="39" t="s">
        <v>81</v>
      </c>
      <c r="F10" s="40" t="s">
        <v>82</v>
      </c>
      <c r="G10" s="40">
        <v>30092</v>
      </c>
      <c r="H10" s="42" t="s">
        <v>53</v>
      </c>
      <c r="I10" s="43" t="s">
        <v>54</v>
      </c>
      <c r="J10" s="71">
        <v>124533.45</v>
      </c>
      <c r="K10" s="23"/>
      <c r="L10" s="45"/>
      <c r="M10" s="48" t="s">
        <v>41</v>
      </c>
      <c r="N10" s="46"/>
      <c r="O10" s="46"/>
      <c r="P10" s="49" t="str">
        <f>INDEX(D:D,COUNTA(D:D)+2,1)</f>
        <v>150 N. Ninth St</v>
      </c>
      <c r="Q10" s="50"/>
      <c r="R10" s="50"/>
      <c r="S10" s="50"/>
      <c r="T10" s="50"/>
      <c r="U10" s="51"/>
      <c r="V10" s="46"/>
      <c r="W10" s="52" t="s">
        <v>44</v>
      </c>
      <c r="X10" s="46"/>
      <c r="Y10" s="254">
        <f>INDEX(G:G,COUNTA(G:G)+2,1)</f>
        <v>29169</v>
      </c>
      <c r="Z10" s="50"/>
      <c r="AA10" s="50"/>
      <c r="AB10" s="50"/>
      <c r="AC10" s="50"/>
      <c r="AD10" s="51"/>
      <c r="AE10" s="47"/>
      <c r="AF10" s="23"/>
      <c r="AG10" s="23"/>
    </row>
    <row r="11" spans="1:33" x14ac:dyDescent="0.25">
      <c r="A11" s="32">
        <v>8</v>
      </c>
      <c r="B11" s="39" t="s">
        <v>310</v>
      </c>
      <c r="C11" s="39" t="s">
        <v>311</v>
      </c>
      <c r="D11" s="39" t="s">
        <v>312</v>
      </c>
      <c r="E11" s="39" t="s">
        <v>313</v>
      </c>
      <c r="F11" s="40" t="s">
        <v>161</v>
      </c>
      <c r="G11" s="39">
        <v>29169</v>
      </c>
      <c r="H11" s="39" t="s">
        <v>314</v>
      </c>
      <c r="I11" s="40" t="s">
        <v>315</v>
      </c>
      <c r="J11" s="71">
        <v>500000</v>
      </c>
      <c r="K11" s="23"/>
      <c r="L11" s="45"/>
      <c r="M11" s="46"/>
      <c r="N11" s="46"/>
      <c r="O11" s="46"/>
      <c r="P11" s="46"/>
      <c r="Q11" s="46"/>
      <c r="R11" s="46"/>
      <c r="S11" s="46"/>
      <c r="T11" s="46"/>
      <c r="U11" s="46"/>
      <c r="V11" s="46"/>
      <c r="W11" s="46"/>
      <c r="X11" s="46"/>
      <c r="Y11" s="46"/>
      <c r="Z11" s="46"/>
      <c r="AA11" s="46"/>
      <c r="AB11" s="46"/>
      <c r="AC11" s="46"/>
      <c r="AD11" s="46"/>
      <c r="AE11" s="47"/>
      <c r="AF11" s="23"/>
      <c r="AG11" s="23"/>
    </row>
    <row r="12" spans="1:33" x14ac:dyDescent="0.25">
      <c r="A12" s="32">
        <v>9</v>
      </c>
      <c r="B12" s="39"/>
      <c r="C12" s="39"/>
      <c r="D12" s="39"/>
      <c r="E12" s="39"/>
      <c r="F12" s="40"/>
      <c r="G12" s="39"/>
      <c r="H12" s="39"/>
      <c r="I12" s="40"/>
      <c r="J12" s="71"/>
      <c r="K12" s="23"/>
      <c r="L12" s="45"/>
      <c r="M12" s="52" t="s">
        <v>45</v>
      </c>
      <c r="N12" s="46"/>
      <c r="O12" s="46"/>
      <c r="P12" s="49" t="str">
        <f>INDEX(H:H,COUNTA(H:H)+2,1)</f>
        <v>803.791.7472</v>
      </c>
      <c r="Q12" s="50"/>
      <c r="R12" s="50"/>
      <c r="S12" s="50"/>
      <c r="T12" s="50"/>
      <c r="U12" s="51"/>
      <c r="V12" s="46"/>
      <c r="W12" s="60" t="s">
        <v>99</v>
      </c>
      <c r="X12" s="46"/>
      <c r="Y12" s="49" t="str">
        <f>INDEX(I:I,COUNTA(I:I)+2,1)</f>
        <v>Plan MBW</v>
      </c>
      <c r="Z12" s="50"/>
      <c r="AA12" s="50"/>
      <c r="AB12" s="50"/>
      <c r="AC12" s="50"/>
      <c r="AD12" s="51"/>
      <c r="AE12" s="47"/>
      <c r="AF12" s="23"/>
      <c r="AG12" s="23"/>
    </row>
    <row r="13" spans="1:33" x14ac:dyDescent="0.25">
      <c r="A13" s="32">
        <v>10</v>
      </c>
      <c r="B13" s="39"/>
      <c r="C13" s="39"/>
      <c r="D13" s="39"/>
      <c r="E13" s="39"/>
      <c r="F13" s="40"/>
      <c r="G13" s="39"/>
      <c r="H13" s="39"/>
      <c r="I13" s="40"/>
      <c r="J13" s="71"/>
      <c r="K13" s="23"/>
      <c r="L13" s="45"/>
      <c r="M13" s="46"/>
      <c r="N13" s="46"/>
      <c r="O13" s="46"/>
      <c r="P13" s="46"/>
      <c r="Q13" s="46"/>
      <c r="R13" s="46"/>
      <c r="S13" s="46"/>
      <c r="T13" s="46"/>
      <c r="U13" s="46"/>
      <c r="V13" s="46"/>
      <c r="W13" s="46"/>
      <c r="X13" s="46"/>
      <c r="Y13" s="46"/>
      <c r="Z13" s="46"/>
      <c r="AA13" s="46"/>
      <c r="AB13" s="46"/>
      <c r="AC13" s="46"/>
      <c r="AD13" s="46"/>
      <c r="AE13" s="47"/>
      <c r="AF13" s="23"/>
      <c r="AG13" s="23"/>
    </row>
    <row r="14" spans="1:33" x14ac:dyDescent="0.25">
      <c r="A14" s="32">
        <v>11</v>
      </c>
      <c r="B14" s="39"/>
      <c r="C14" s="39"/>
      <c r="D14" s="39"/>
      <c r="E14" s="39"/>
      <c r="F14" s="40"/>
      <c r="G14" s="39"/>
      <c r="H14" s="39"/>
      <c r="I14" s="40"/>
      <c r="J14" s="71"/>
      <c r="K14" s="23"/>
      <c r="L14" s="45"/>
      <c r="M14" s="52" t="s">
        <v>90</v>
      </c>
      <c r="N14" s="46"/>
      <c r="O14" s="46"/>
      <c r="P14" s="46"/>
      <c r="Q14" s="46"/>
      <c r="R14" s="46"/>
      <c r="S14" s="46"/>
      <c r="T14" s="46"/>
      <c r="U14" s="46"/>
      <c r="V14" s="46"/>
      <c r="W14" s="46"/>
      <c r="X14" s="46"/>
      <c r="Y14" s="255">
        <f>INDEX(J:J,COUNTA(J:J)+2,1)</f>
        <v>500000</v>
      </c>
      <c r="Z14" s="50"/>
      <c r="AA14" s="50"/>
      <c r="AB14" s="50"/>
      <c r="AC14" s="50"/>
      <c r="AD14" s="51"/>
      <c r="AE14" s="47"/>
      <c r="AF14" s="23"/>
      <c r="AG14" s="23"/>
    </row>
    <row r="15" spans="1:33" x14ac:dyDescent="0.25">
      <c r="A15" s="32">
        <v>12</v>
      </c>
      <c r="B15" s="39"/>
      <c r="C15" s="39"/>
      <c r="D15" s="39"/>
      <c r="E15" s="39"/>
      <c r="F15" s="40"/>
      <c r="G15" s="39"/>
      <c r="H15" s="39"/>
      <c r="I15" s="40"/>
      <c r="J15" s="71"/>
      <c r="K15" s="23"/>
      <c r="L15" s="45"/>
      <c r="M15" s="46"/>
      <c r="N15" s="46"/>
      <c r="O15" s="46"/>
      <c r="P15" s="46"/>
      <c r="Q15" s="46"/>
      <c r="R15" s="46"/>
      <c r="S15" s="46"/>
      <c r="T15" s="46"/>
      <c r="U15" s="46"/>
      <c r="V15" s="46"/>
      <c r="W15" s="46"/>
      <c r="X15" s="46"/>
      <c r="Y15" s="46"/>
      <c r="Z15" s="46"/>
      <c r="AA15" s="46"/>
      <c r="AB15" s="46"/>
      <c r="AC15" s="46"/>
      <c r="AD15" s="46"/>
      <c r="AE15" s="47"/>
      <c r="AF15" s="23"/>
      <c r="AG15" s="23"/>
    </row>
    <row r="16" spans="1:33" x14ac:dyDescent="0.25">
      <c r="A16" s="32">
        <v>13</v>
      </c>
      <c r="B16" s="39"/>
      <c r="C16" s="39"/>
      <c r="D16" s="39"/>
      <c r="E16" s="39"/>
      <c r="F16" s="40"/>
      <c r="G16" s="39"/>
      <c r="H16" s="39"/>
      <c r="I16" s="40"/>
      <c r="J16" s="71"/>
      <c r="K16" s="23"/>
      <c r="L16" s="303" t="s">
        <v>91</v>
      </c>
      <c r="M16" s="304"/>
      <c r="N16" s="304"/>
      <c r="O16" s="304"/>
      <c r="P16" s="304"/>
      <c r="Q16" s="304"/>
      <c r="R16" s="304"/>
      <c r="S16" s="304"/>
      <c r="T16" s="304"/>
      <c r="U16" s="304"/>
      <c r="V16" s="304"/>
      <c r="W16" s="304"/>
      <c r="X16" s="304"/>
      <c r="Y16" s="304"/>
      <c r="Z16" s="304"/>
      <c r="AA16" s="304"/>
      <c r="AB16" s="304"/>
      <c r="AC16" s="304"/>
      <c r="AD16" s="304"/>
      <c r="AE16" s="305"/>
      <c r="AF16" s="23"/>
      <c r="AG16" s="23"/>
    </row>
    <row r="17" spans="1:33" ht="16.5" thickBot="1" x14ac:dyDescent="0.3">
      <c r="A17" s="32">
        <v>14</v>
      </c>
      <c r="B17" s="39"/>
      <c r="C17" s="39"/>
      <c r="D17" s="39"/>
      <c r="E17" s="39"/>
      <c r="F17" s="40"/>
      <c r="G17" s="39"/>
      <c r="H17" s="39"/>
      <c r="I17" s="40"/>
      <c r="J17" s="71"/>
      <c r="K17" s="23"/>
      <c r="L17" s="61"/>
      <c r="M17" s="62"/>
      <c r="N17" s="62"/>
      <c r="O17" s="62"/>
      <c r="P17" s="62"/>
      <c r="Q17" s="62"/>
      <c r="R17" s="62"/>
      <c r="S17" s="62"/>
      <c r="T17" s="62"/>
      <c r="U17" s="62"/>
      <c r="V17" s="62"/>
      <c r="W17" s="62"/>
      <c r="X17" s="62"/>
      <c r="Y17" s="62"/>
      <c r="Z17" s="62"/>
      <c r="AA17" s="62"/>
      <c r="AB17" s="62"/>
      <c r="AC17" s="62"/>
      <c r="AD17" s="62"/>
      <c r="AE17" s="63"/>
      <c r="AF17" s="23"/>
      <c r="AG17" s="23"/>
    </row>
    <row r="18" spans="1:33" x14ac:dyDescent="0.25">
      <c r="A18" s="32">
        <v>15</v>
      </c>
      <c r="B18" s="39"/>
      <c r="C18" s="39"/>
      <c r="D18" s="39"/>
      <c r="E18" s="39"/>
      <c r="F18" s="40"/>
      <c r="G18" s="39"/>
      <c r="H18" s="39"/>
      <c r="I18" s="40"/>
      <c r="J18" s="71"/>
      <c r="K18" s="23"/>
      <c r="L18" s="23"/>
      <c r="M18" s="23"/>
      <c r="N18" s="23"/>
      <c r="O18" s="23"/>
      <c r="P18" s="23"/>
      <c r="Q18" s="23"/>
      <c r="R18" s="23"/>
      <c r="S18" s="23"/>
      <c r="T18" s="23"/>
      <c r="U18" s="23"/>
      <c r="V18" s="23"/>
      <c r="W18" s="23"/>
      <c r="X18" s="23"/>
      <c r="Y18" s="23"/>
      <c r="Z18" s="23"/>
      <c r="AA18" s="23"/>
      <c r="AB18" s="23"/>
      <c r="AC18" s="23"/>
      <c r="AD18" s="23"/>
      <c r="AE18" s="23"/>
      <c r="AF18" s="23"/>
      <c r="AG18" s="23"/>
    </row>
    <row r="19" spans="1:33" x14ac:dyDescent="0.25">
      <c r="A19" s="32">
        <v>16</v>
      </c>
      <c r="B19" s="39"/>
      <c r="C19" s="39"/>
      <c r="D19" s="39"/>
      <c r="E19" s="39"/>
      <c r="F19" s="40"/>
      <c r="G19" s="39"/>
      <c r="H19" s="39"/>
      <c r="I19" s="40"/>
      <c r="J19" s="71"/>
      <c r="K19" s="23"/>
      <c r="L19" s="23"/>
      <c r="M19" s="23"/>
      <c r="N19" s="23"/>
      <c r="O19" s="23"/>
      <c r="P19" s="23"/>
      <c r="Q19" s="23"/>
      <c r="R19" s="23"/>
      <c r="S19" s="23"/>
      <c r="T19" s="23"/>
      <c r="U19" s="23"/>
      <c r="V19" s="23"/>
      <c r="W19" s="23"/>
      <c r="X19" s="23"/>
      <c r="Y19" s="23"/>
      <c r="Z19" s="23"/>
      <c r="AA19" s="23"/>
      <c r="AB19" s="23"/>
      <c r="AC19" s="23"/>
      <c r="AD19" s="23"/>
      <c r="AE19" s="23"/>
      <c r="AF19" s="23"/>
      <c r="AG19" s="23"/>
    </row>
    <row r="20" spans="1:33" x14ac:dyDescent="0.25">
      <c r="A20" s="32">
        <v>17</v>
      </c>
      <c r="B20" s="39"/>
      <c r="C20" s="39"/>
      <c r="D20" s="39"/>
      <c r="E20" s="39"/>
      <c r="F20" s="40"/>
      <c r="G20" s="39"/>
      <c r="H20" s="39"/>
      <c r="I20" s="40"/>
      <c r="J20" s="71"/>
      <c r="K20" s="23"/>
      <c r="L20" s="23"/>
      <c r="M20" s="23"/>
      <c r="N20" s="23"/>
      <c r="O20" s="23"/>
      <c r="P20" s="23"/>
      <c r="Q20" s="23"/>
      <c r="R20" s="23"/>
      <c r="S20" s="23"/>
      <c r="T20" s="23"/>
      <c r="U20" s="23"/>
      <c r="V20" s="23"/>
      <c r="W20" s="23"/>
      <c r="X20" s="23"/>
      <c r="Y20" s="23"/>
      <c r="Z20" s="23"/>
      <c r="AA20" s="23"/>
      <c r="AB20" s="23"/>
      <c r="AC20" s="23"/>
      <c r="AD20" s="23"/>
      <c r="AE20" s="23"/>
      <c r="AF20" s="23"/>
      <c r="AG20" s="23"/>
    </row>
    <row r="21" spans="1:33" x14ac:dyDescent="0.25">
      <c r="A21" s="32">
        <v>18</v>
      </c>
      <c r="B21" s="39"/>
      <c r="C21" s="39"/>
      <c r="D21" s="39"/>
      <c r="E21" s="39"/>
      <c r="F21" s="40"/>
      <c r="G21" s="39"/>
      <c r="H21" s="39"/>
      <c r="I21" s="40"/>
      <c r="J21" s="71"/>
      <c r="K21" s="23"/>
      <c r="L21" s="23"/>
      <c r="M21" s="23"/>
      <c r="N21" s="23"/>
      <c r="O21" s="23"/>
      <c r="P21" s="23"/>
      <c r="Q21" s="23"/>
      <c r="R21" s="23"/>
      <c r="S21" s="23"/>
      <c r="T21" s="23"/>
      <c r="U21" s="23"/>
      <c r="V21" s="23"/>
      <c r="W21" s="23"/>
      <c r="X21" s="23"/>
      <c r="Y21" s="23"/>
      <c r="Z21" s="23"/>
      <c r="AA21" s="23"/>
      <c r="AB21" s="23"/>
      <c r="AC21" s="23"/>
      <c r="AD21" s="23"/>
      <c r="AE21" s="23"/>
      <c r="AF21" s="23"/>
      <c r="AG21" s="23"/>
    </row>
    <row r="22" spans="1:33" x14ac:dyDescent="0.25">
      <c r="A22" s="32">
        <v>19</v>
      </c>
      <c r="B22" s="39"/>
      <c r="C22" s="39"/>
      <c r="D22" s="39"/>
      <c r="E22" s="39"/>
      <c r="F22" s="40"/>
      <c r="G22" s="39"/>
      <c r="H22" s="39"/>
      <c r="I22" s="40"/>
      <c r="J22" s="71"/>
      <c r="K22" s="23"/>
      <c r="L22" s="23"/>
      <c r="M22" s="23"/>
      <c r="N22" s="23"/>
      <c r="O22" s="23"/>
      <c r="P22" s="23"/>
      <c r="Q22" s="23"/>
      <c r="R22" s="23"/>
      <c r="S22" s="23"/>
      <c r="T22" s="23"/>
      <c r="U22" s="23"/>
      <c r="V22" s="23"/>
      <c r="W22" s="23"/>
      <c r="X22" s="23"/>
      <c r="Y22" s="23"/>
      <c r="Z22" s="23"/>
      <c r="AA22" s="23"/>
      <c r="AB22" s="23"/>
      <c r="AC22" s="23"/>
      <c r="AD22" s="23"/>
      <c r="AE22" s="23"/>
      <c r="AF22" s="23"/>
      <c r="AG22" s="23"/>
    </row>
    <row r="23" spans="1:33" x14ac:dyDescent="0.25">
      <c r="A23" s="32">
        <v>20</v>
      </c>
      <c r="B23" s="39"/>
      <c r="C23" s="39"/>
      <c r="D23" s="39"/>
      <c r="E23" s="39"/>
      <c r="F23" s="40"/>
      <c r="G23" s="39"/>
      <c r="H23" s="39"/>
      <c r="I23" s="40"/>
      <c r="J23" s="71"/>
      <c r="K23" s="23"/>
      <c r="L23" s="23"/>
      <c r="M23" s="23"/>
      <c r="N23" s="23"/>
      <c r="O23" s="23"/>
      <c r="P23" s="23"/>
      <c r="Q23" s="23"/>
      <c r="R23" s="23"/>
      <c r="S23" s="23"/>
      <c r="T23" s="23"/>
      <c r="U23" s="23"/>
      <c r="V23" s="23"/>
      <c r="W23" s="23"/>
      <c r="X23" s="23"/>
      <c r="Y23" s="23"/>
      <c r="Z23" s="23"/>
      <c r="AA23" s="23"/>
      <c r="AB23" s="23"/>
      <c r="AC23" s="23"/>
      <c r="AD23" s="23"/>
      <c r="AE23" s="23"/>
      <c r="AF23" s="23"/>
      <c r="AG23" s="23"/>
    </row>
    <row r="24" spans="1:33" x14ac:dyDescent="0.25">
      <c r="A24" s="32">
        <v>21</v>
      </c>
      <c r="B24" s="39"/>
      <c r="C24" s="39"/>
      <c r="D24" s="39"/>
      <c r="E24" s="39"/>
      <c r="F24" s="40"/>
      <c r="G24" s="39"/>
      <c r="H24" s="39"/>
      <c r="I24" s="40"/>
      <c r="J24" s="71"/>
      <c r="K24" s="23"/>
      <c r="L24" s="23"/>
      <c r="M24" s="23"/>
      <c r="N24" s="23"/>
      <c r="O24" s="23"/>
      <c r="P24" s="23"/>
      <c r="Q24" s="23"/>
      <c r="R24" s="23"/>
      <c r="S24" s="23"/>
      <c r="T24" s="23"/>
      <c r="U24" s="23"/>
      <c r="V24" s="23"/>
      <c r="W24" s="23"/>
      <c r="X24" s="23"/>
      <c r="Y24" s="23"/>
      <c r="Z24" s="23"/>
      <c r="AA24" s="23"/>
      <c r="AB24" s="23"/>
      <c r="AC24" s="23"/>
      <c r="AD24" s="23"/>
      <c r="AE24" s="23"/>
      <c r="AF24" s="23"/>
      <c r="AG24" s="23"/>
    </row>
    <row r="25" spans="1:33" x14ac:dyDescent="0.25">
      <c r="A25" s="32">
        <v>22</v>
      </c>
      <c r="B25" s="39"/>
      <c r="C25" s="39"/>
      <c r="D25" s="39"/>
      <c r="E25" s="39"/>
      <c r="F25" s="40"/>
      <c r="G25" s="39"/>
      <c r="H25" s="39"/>
      <c r="I25" s="40"/>
      <c r="J25" s="71"/>
      <c r="K25" s="23"/>
      <c r="L25" s="23"/>
      <c r="M25" s="23"/>
      <c r="N25" s="23"/>
      <c r="O25" s="23"/>
      <c r="P25" s="23"/>
      <c r="Q25" s="23"/>
      <c r="R25" s="23"/>
      <c r="S25" s="23"/>
      <c r="T25" s="23"/>
      <c r="U25" s="23"/>
      <c r="V25" s="23"/>
      <c r="W25" s="23"/>
      <c r="X25" s="23"/>
      <c r="Y25" s="23"/>
      <c r="Z25" s="23"/>
      <c r="AA25" s="23"/>
      <c r="AB25" s="23"/>
      <c r="AC25" s="23"/>
      <c r="AD25" s="23"/>
      <c r="AE25" s="23"/>
      <c r="AF25" s="23"/>
      <c r="AG25" s="23"/>
    </row>
    <row r="26" spans="1:33" x14ac:dyDescent="0.25">
      <c r="A26" s="32">
        <v>23</v>
      </c>
      <c r="B26" s="39"/>
      <c r="C26" s="39"/>
      <c r="D26" s="39"/>
      <c r="E26" s="39"/>
      <c r="F26" s="40"/>
      <c r="G26" s="39"/>
      <c r="H26" s="39"/>
      <c r="I26" s="40"/>
      <c r="J26" s="71"/>
      <c r="K26" s="23"/>
      <c r="L26" s="23"/>
      <c r="M26" s="23"/>
      <c r="N26" s="23"/>
      <c r="O26" s="23"/>
      <c r="P26" s="23"/>
      <c r="Q26" s="23"/>
      <c r="R26" s="23"/>
      <c r="S26" s="23"/>
      <c r="T26" s="23"/>
      <c r="U26" s="23"/>
      <c r="V26" s="23"/>
      <c r="W26" s="23"/>
      <c r="X26" s="23"/>
      <c r="Y26" s="23"/>
      <c r="Z26" s="23"/>
      <c r="AA26" s="23"/>
      <c r="AB26" s="23"/>
      <c r="AC26" s="23"/>
      <c r="AD26" s="23"/>
      <c r="AE26" s="23"/>
      <c r="AF26" s="23"/>
      <c r="AG26" s="23"/>
    </row>
    <row r="27" spans="1:33" x14ac:dyDescent="0.25">
      <c r="A27" s="32">
        <v>24</v>
      </c>
      <c r="B27" s="39"/>
      <c r="C27" s="39"/>
      <c r="D27" s="39"/>
      <c r="E27" s="39"/>
      <c r="F27" s="40"/>
      <c r="G27" s="39"/>
      <c r="H27" s="39"/>
      <c r="I27" s="40"/>
      <c r="J27" s="71"/>
      <c r="K27" s="23"/>
      <c r="L27" s="23"/>
      <c r="M27" s="23"/>
      <c r="N27" s="23"/>
      <c r="O27" s="23"/>
      <c r="P27" s="23"/>
      <c r="Q27" s="23"/>
      <c r="R27" s="23"/>
      <c r="S27" s="23"/>
      <c r="T27" s="23"/>
      <c r="U27" s="23"/>
      <c r="V27" s="23"/>
      <c r="W27" s="23"/>
      <c r="X27" s="23"/>
      <c r="Y27" s="23"/>
      <c r="Z27" s="23"/>
      <c r="AA27" s="23"/>
      <c r="AB27" s="23"/>
      <c r="AC27" s="23"/>
      <c r="AD27" s="23"/>
      <c r="AE27" s="23"/>
      <c r="AF27" s="23"/>
      <c r="AG27" s="23"/>
    </row>
    <row r="28" spans="1:33" x14ac:dyDescent="0.25">
      <c r="A28" s="32">
        <v>25</v>
      </c>
      <c r="B28" s="39"/>
      <c r="C28" s="39"/>
      <c r="D28" s="39"/>
      <c r="E28" s="39"/>
      <c r="F28" s="40"/>
      <c r="G28" s="39"/>
      <c r="H28" s="39"/>
      <c r="I28" s="40"/>
      <c r="J28" s="71"/>
      <c r="K28" s="23"/>
      <c r="L28" s="23"/>
      <c r="M28" s="23"/>
      <c r="N28" s="23"/>
      <c r="O28" s="23"/>
      <c r="P28" s="23"/>
      <c r="Q28" s="23"/>
      <c r="R28" s="23"/>
      <c r="S28" s="23"/>
      <c r="T28" s="23"/>
      <c r="U28" s="23"/>
      <c r="V28" s="23"/>
      <c r="W28" s="23"/>
      <c r="X28" s="23"/>
      <c r="Y28" s="23"/>
      <c r="Z28" s="23"/>
      <c r="AA28" s="23"/>
      <c r="AB28" s="23"/>
      <c r="AC28" s="23"/>
      <c r="AD28" s="23"/>
      <c r="AE28" s="23"/>
      <c r="AF28" s="23"/>
      <c r="AG28" s="23"/>
    </row>
  </sheetData>
  <mergeCells count="2">
    <mergeCell ref="L4:AE4"/>
    <mergeCell ref="L16:AE16"/>
  </mergeCells>
  <pageMargins left="0.7" right="0.7" top="0.75" bottom="0.75" header="0.3" footer="0.3"/>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dimension ref="A1:AG28"/>
  <sheetViews>
    <sheetView showGridLines="0" workbookViewId="0">
      <selection activeCell="P31" sqref="P31"/>
    </sheetView>
  </sheetViews>
  <sheetFormatPr defaultRowHeight="15.75" x14ac:dyDescent="0.25"/>
  <cols>
    <col min="1" max="1" width="7.875" bestFit="1" customWidth="1"/>
    <col min="2" max="3" width="10" bestFit="1" customWidth="1"/>
    <col min="4" max="4" width="19" bestFit="1" customWidth="1"/>
    <col min="5" max="5" width="8.375" bestFit="1" customWidth="1"/>
    <col min="6" max="6" width="5.375" bestFit="1" customWidth="1"/>
    <col min="7" max="7" width="5.875" bestFit="1" customWidth="1"/>
    <col min="8" max="8" width="11.875" bestFit="1" customWidth="1"/>
    <col min="9" max="9" width="11.875" customWidth="1"/>
    <col min="10" max="10" width="12.125" bestFit="1" customWidth="1"/>
    <col min="11" max="11" width="3.75" customWidth="1"/>
    <col min="12" max="31" width="3.625" customWidth="1"/>
    <col min="32" max="32" width="3" customWidth="1"/>
  </cols>
  <sheetData>
    <row r="1" spans="1:33" x14ac:dyDescent="0.25">
      <c r="A1" s="16"/>
      <c r="B1" s="16"/>
      <c r="C1" s="16"/>
      <c r="D1" s="16"/>
      <c r="E1" s="16"/>
      <c r="F1" s="16"/>
      <c r="G1" s="16"/>
      <c r="H1" s="16"/>
      <c r="I1" s="16"/>
      <c r="J1" s="16"/>
      <c r="K1" s="16"/>
      <c r="L1" s="16"/>
      <c r="M1" s="16"/>
      <c r="N1" s="16"/>
      <c r="O1" s="16"/>
      <c r="P1" s="16"/>
      <c r="Q1" s="16"/>
      <c r="R1" s="16"/>
      <c r="S1" s="17">
        <f t="shared" ref="S1:AB1" si="0">VLOOKUP(MAX($A$3:$A$147),$A$3:$H$147,2)</f>
        <v>0</v>
      </c>
      <c r="T1" s="17">
        <f t="shared" si="0"/>
        <v>0</v>
      </c>
      <c r="U1" s="17">
        <f t="shared" si="0"/>
        <v>0</v>
      </c>
      <c r="V1" s="17">
        <f t="shared" si="0"/>
        <v>0</v>
      </c>
      <c r="W1" s="17">
        <f t="shared" si="0"/>
        <v>0</v>
      </c>
      <c r="X1" s="17">
        <f t="shared" si="0"/>
        <v>0</v>
      </c>
      <c r="Y1" s="17">
        <f t="shared" si="0"/>
        <v>0</v>
      </c>
      <c r="Z1" s="17">
        <f t="shared" si="0"/>
        <v>0</v>
      </c>
      <c r="AA1" s="17">
        <f t="shared" si="0"/>
        <v>0</v>
      </c>
      <c r="AB1" s="17">
        <f t="shared" si="0"/>
        <v>0</v>
      </c>
      <c r="AC1" s="18"/>
      <c r="AD1" s="18"/>
      <c r="AE1" s="18"/>
      <c r="AF1" s="18"/>
      <c r="AG1" s="18"/>
    </row>
    <row r="2" spans="1:33" ht="16.5" thickBot="1" x14ac:dyDescent="0.3">
      <c r="A2" s="73"/>
      <c r="B2" s="20"/>
      <c r="C2" s="20"/>
      <c r="D2" s="20"/>
      <c r="E2" s="20"/>
      <c r="F2" s="20"/>
      <c r="G2" s="20"/>
      <c r="H2" s="20"/>
      <c r="I2" s="22"/>
      <c r="J2" s="20"/>
      <c r="K2" s="23"/>
      <c r="L2" s="23"/>
      <c r="M2" s="23"/>
      <c r="N2" s="23"/>
      <c r="O2" s="23"/>
      <c r="P2" s="23"/>
      <c r="Q2" s="23"/>
      <c r="R2" s="23"/>
      <c r="S2" s="23"/>
      <c r="T2" s="23"/>
      <c r="U2" s="23"/>
      <c r="V2" s="23"/>
      <c r="W2" s="23"/>
      <c r="X2" s="23"/>
      <c r="Y2" s="23"/>
      <c r="Z2" s="23"/>
      <c r="AA2" s="23"/>
      <c r="AB2" s="23"/>
      <c r="AC2" s="23"/>
      <c r="AD2" s="23"/>
      <c r="AE2" s="23"/>
      <c r="AF2" s="23"/>
      <c r="AG2" s="23"/>
    </row>
    <row r="3" spans="1:33" x14ac:dyDescent="0.25">
      <c r="A3" s="68" t="s">
        <v>38</v>
      </c>
      <c r="B3" s="69" t="s">
        <v>39</v>
      </c>
      <c r="C3" s="69" t="s">
        <v>40</v>
      </c>
      <c r="D3" s="69" t="s">
        <v>41</v>
      </c>
      <c r="E3" s="68" t="s">
        <v>42</v>
      </c>
      <c r="F3" s="68" t="s">
        <v>43</v>
      </c>
      <c r="G3" s="68" t="s">
        <v>44</v>
      </c>
      <c r="H3" s="68" t="s">
        <v>45</v>
      </c>
      <c r="I3" s="68" t="s">
        <v>46</v>
      </c>
      <c r="J3" s="68" t="s">
        <v>47</v>
      </c>
      <c r="K3" s="23"/>
      <c r="L3" s="29"/>
      <c r="M3" s="30"/>
      <c r="N3" s="30"/>
      <c r="O3" s="30"/>
      <c r="P3" s="30"/>
      <c r="Q3" s="30"/>
      <c r="R3" s="30"/>
      <c r="S3" s="30"/>
      <c r="T3" s="30"/>
      <c r="U3" s="30"/>
      <c r="V3" s="30"/>
      <c r="W3" s="30"/>
      <c r="X3" s="30"/>
      <c r="Y3" s="30"/>
      <c r="Z3" s="30"/>
      <c r="AA3" s="30"/>
      <c r="AB3" s="30"/>
      <c r="AC3" s="30"/>
      <c r="AD3" s="30"/>
      <c r="AE3" s="31"/>
      <c r="AF3" s="23"/>
      <c r="AG3" s="23"/>
    </row>
    <row r="4" spans="1:33" x14ac:dyDescent="0.25">
      <c r="A4" s="32">
        <v>1</v>
      </c>
      <c r="B4" s="33" t="s">
        <v>48</v>
      </c>
      <c r="C4" s="34" t="s">
        <v>49</v>
      </c>
      <c r="D4" s="34" t="s">
        <v>50</v>
      </c>
      <c r="E4" s="34" t="s">
        <v>51</v>
      </c>
      <c r="F4" s="35" t="s">
        <v>52</v>
      </c>
      <c r="G4" s="35">
        <v>30062</v>
      </c>
      <c r="H4" s="33" t="s">
        <v>53</v>
      </c>
      <c r="I4" s="37" t="s">
        <v>54</v>
      </c>
      <c r="J4" s="70">
        <v>157665</v>
      </c>
      <c r="K4" s="23"/>
      <c r="L4" s="300" t="s">
        <v>55</v>
      </c>
      <c r="M4" s="301"/>
      <c r="N4" s="301"/>
      <c r="O4" s="301"/>
      <c r="P4" s="301"/>
      <c r="Q4" s="301"/>
      <c r="R4" s="301"/>
      <c r="S4" s="301"/>
      <c r="T4" s="301"/>
      <c r="U4" s="301"/>
      <c r="V4" s="301"/>
      <c r="W4" s="301"/>
      <c r="X4" s="301"/>
      <c r="Y4" s="301"/>
      <c r="Z4" s="301"/>
      <c r="AA4" s="301"/>
      <c r="AB4" s="301"/>
      <c r="AC4" s="301"/>
      <c r="AD4" s="301"/>
      <c r="AE4" s="302"/>
      <c r="AF4" s="23"/>
      <c r="AG4" s="23"/>
    </row>
    <row r="5" spans="1:33" x14ac:dyDescent="0.25">
      <c r="A5" s="32">
        <v>2</v>
      </c>
      <c r="B5" s="39" t="s">
        <v>56</v>
      </c>
      <c r="C5" s="39" t="s">
        <v>57</v>
      </c>
      <c r="D5" s="39" t="s">
        <v>58</v>
      </c>
      <c r="E5" s="39" t="s">
        <v>51</v>
      </c>
      <c r="F5" s="40" t="s">
        <v>52</v>
      </c>
      <c r="G5" s="40">
        <v>30063</v>
      </c>
      <c r="H5" s="42" t="s">
        <v>59</v>
      </c>
      <c r="I5" s="43" t="s">
        <v>60</v>
      </c>
      <c r="J5" s="71">
        <v>156340</v>
      </c>
      <c r="K5" s="23"/>
      <c r="L5" s="45"/>
      <c r="M5" s="46"/>
      <c r="N5" s="46"/>
      <c r="O5" s="46"/>
      <c r="P5" s="46"/>
      <c r="Q5" s="46"/>
      <c r="R5" s="46"/>
      <c r="S5" s="46"/>
      <c r="T5" s="46"/>
      <c r="U5" s="46"/>
      <c r="V5" s="46"/>
      <c r="W5" s="46"/>
      <c r="X5" s="46"/>
      <c r="Y5" s="46"/>
      <c r="Z5" s="46"/>
      <c r="AA5" s="46"/>
      <c r="AB5" s="46"/>
      <c r="AC5" s="46"/>
      <c r="AD5" s="46"/>
      <c r="AE5" s="47"/>
      <c r="AF5" s="23"/>
      <c r="AG5" s="23"/>
    </row>
    <row r="6" spans="1:33" x14ac:dyDescent="0.25">
      <c r="A6" s="32">
        <v>3</v>
      </c>
      <c r="B6" s="39" t="s">
        <v>61</v>
      </c>
      <c r="C6" s="42" t="s">
        <v>62</v>
      </c>
      <c r="D6" s="39" t="s">
        <v>63</v>
      </c>
      <c r="E6" s="39" t="s">
        <v>51</v>
      </c>
      <c r="F6" s="40" t="s">
        <v>52</v>
      </c>
      <c r="G6" s="40">
        <v>30064</v>
      </c>
      <c r="H6" s="42" t="s">
        <v>64</v>
      </c>
      <c r="I6" s="43" t="s">
        <v>65</v>
      </c>
      <c r="J6" s="71">
        <v>81480</v>
      </c>
      <c r="K6" s="23"/>
      <c r="L6" s="45"/>
      <c r="M6" s="48" t="s">
        <v>39</v>
      </c>
      <c r="N6" s="46"/>
      <c r="O6" s="46"/>
      <c r="P6" s="49" t="str">
        <f>VLOOKUP(COUNTA($B:$B)-1,$A:$J,2,0)</f>
        <v>Collins</v>
      </c>
      <c r="Q6" s="50"/>
      <c r="R6" s="50"/>
      <c r="S6" s="50"/>
      <c r="T6" s="50"/>
      <c r="U6" s="51"/>
      <c r="V6" s="46"/>
      <c r="W6" s="52" t="s">
        <v>42</v>
      </c>
      <c r="X6" s="46"/>
      <c r="Y6" s="49" t="str">
        <f>VLOOKUP(COUNTA($B:$B)-1,$A:$J,5,0)</f>
        <v>Norcross</v>
      </c>
      <c r="Z6" s="50"/>
      <c r="AA6" s="50"/>
      <c r="AB6" s="50"/>
      <c r="AC6" s="50"/>
      <c r="AD6" s="51"/>
      <c r="AE6" s="47"/>
      <c r="AF6" s="23"/>
      <c r="AG6" s="23"/>
    </row>
    <row r="7" spans="1:33" x14ac:dyDescent="0.25">
      <c r="A7" s="32">
        <v>4</v>
      </c>
      <c r="B7" s="39" t="s">
        <v>66</v>
      </c>
      <c r="C7" s="42" t="s">
        <v>67</v>
      </c>
      <c r="D7" s="39" t="s">
        <v>68</v>
      </c>
      <c r="E7" s="39" t="s">
        <v>51</v>
      </c>
      <c r="F7" s="40" t="s">
        <v>52</v>
      </c>
      <c r="G7" s="40">
        <v>30065</v>
      </c>
      <c r="H7" s="42" t="s">
        <v>69</v>
      </c>
      <c r="I7" s="43" t="s">
        <v>54</v>
      </c>
      <c r="J7" s="71">
        <v>202578</v>
      </c>
      <c r="K7" s="23"/>
      <c r="L7" s="45"/>
      <c r="M7" s="46"/>
      <c r="N7" s="46"/>
      <c r="O7" s="46"/>
      <c r="P7" s="46"/>
      <c r="Q7" s="46"/>
      <c r="R7" s="46"/>
      <c r="S7" s="46"/>
      <c r="T7" s="46"/>
      <c r="U7" s="46"/>
      <c r="V7" s="46"/>
      <c r="W7" s="46"/>
      <c r="X7" s="46"/>
      <c r="Y7" s="46"/>
      <c r="Z7" s="46"/>
      <c r="AA7" s="46"/>
      <c r="AB7" s="46"/>
      <c r="AC7" s="46"/>
      <c r="AD7" s="46"/>
      <c r="AE7" s="47"/>
      <c r="AF7" s="23"/>
      <c r="AG7" s="23"/>
    </row>
    <row r="8" spans="1:33" x14ac:dyDescent="0.25">
      <c r="A8" s="32">
        <v>5</v>
      </c>
      <c r="B8" s="42" t="s">
        <v>70</v>
      </c>
      <c r="C8" s="39" t="s">
        <v>71</v>
      </c>
      <c r="D8" s="39" t="s">
        <v>72</v>
      </c>
      <c r="E8" s="39" t="s">
        <v>51</v>
      </c>
      <c r="F8" s="40" t="s">
        <v>52</v>
      </c>
      <c r="G8" s="40">
        <v>30066</v>
      </c>
      <c r="H8" s="42" t="s">
        <v>73</v>
      </c>
      <c r="I8" s="43" t="s">
        <v>60</v>
      </c>
      <c r="J8" s="71">
        <v>177209</v>
      </c>
      <c r="K8" s="23"/>
      <c r="L8" s="45"/>
      <c r="M8" s="48" t="s">
        <v>40</v>
      </c>
      <c r="N8" s="46"/>
      <c r="O8" s="46"/>
      <c r="P8" s="49" t="str">
        <f>VLOOKUP(COUNTA($B:$B)-1,$A:$J,3,0)</f>
        <v>Carlton</v>
      </c>
      <c r="Q8" s="50"/>
      <c r="R8" s="50"/>
      <c r="S8" s="50"/>
      <c r="T8" s="50"/>
      <c r="U8" s="51"/>
      <c r="V8" s="46"/>
      <c r="W8" s="52" t="s">
        <v>43</v>
      </c>
      <c r="X8" s="46"/>
      <c r="Y8" s="49" t="str">
        <f>VLOOKUP(COUNTA($B:$B)-1,$A:$J,6,0)</f>
        <v xml:space="preserve">GA </v>
      </c>
      <c r="Z8" s="50"/>
      <c r="AA8" s="50"/>
      <c r="AB8" s="50"/>
      <c r="AC8" s="50"/>
      <c r="AD8" s="51"/>
      <c r="AE8" s="47"/>
      <c r="AF8" s="23"/>
      <c r="AG8" s="23"/>
    </row>
    <row r="9" spans="1:33" x14ac:dyDescent="0.25">
      <c r="A9" s="32">
        <v>6</v>
      </c>
      <c r="B9" s="39" t="s">
        <v>74</v>
      </c>
      <c r="C9" s="39" t="s">
        <v>75</v>
      </c>
      <c r="D9" s="39" t="s">
        <v>76</v>
      </c>
      <c r="E9" s="39" t="s">
        <v>77</v>
      </c>
      <c r="F9" s="40" t="s">
        <v>52</v>
      </c>
      <c r="G9" s="40">
        <v>30092</v>
      </c>
      <c r="H9" s="42" t="s">
        <v>78</v>
      </c>
      <c r="I9" s="43" t="s">
        <v>65</v>
      </c>
      <c r="J9" s="71">
        <v>212254.23</v>
      </c>
      <c r="K9" s="23"/>
      <c r="L9" s="45"/>
      <c r="M9" s="46"/>
      <c r="N9" s="46"/>
      <c r="O9" s="46"/>
      <c r="P9" s="46"/>
      <c r="Q9" s="46"/>
      <c r="R9" s="46"/>
      <c r="S9" s="46"/>
      <c r="T9" s="46"/>
      <c r="U9" s="46"/>
      <c r="V9" s="46"/>
      <c r="W9" s="46"/>
      <c r="X9" s="46"/>
      <c r="Y9" s="46"/>
      <c r="Z9" s="46"/>
      <c r="AA9" s="46"/>
      <c r="AB9" s="46"/>
      <c r="AC9" s="46"/>
      <c r="AD9" s="46"/>
      <c r="AE9" s="47"/>
      <c r="AF9" s="23"/>
      <c r="AG9" s="23"/>
    </row>
    <row r="10" spans="1:33" x14ac:dyDescent="0.25">
      <c r="A10" s="32">
        <v>7</v>
      </c>
      <c r="B10" s="39" t="s">
        <v>79</v>
      </c>
      <c r="C10" s="39" t="s">
        <v>80</v>
      </c>
      <c r="D10" s="39" t="s">
        <v>50</v>
      </c>
      <c r="E10" s="39" t="s">
        <v>81</v>
      </c>
      <c r="F10" s="40" t="s">
        <v>82</v>
      </c>
      <c r="G10" s="40">
        <v>30092</v>
      </c>
      <c r="H10" s="42" t="s">
        <v>53</v>
      </c>
      <c r="I10" s="43" t="s">
        <v>54</v>
      </c>
      <c r="J10" s="71">
        <v>124533.45</v>
      </c>
      <c r="K10" s="23"/>
      <c r="L10" s="45"/>
      <c r="M10" s="48" t="s">
        <v>41</v>
      </c>
      <c r="N10" s="46"/>
      <c r="O10" s="46"/>
      <c r="P10" s="49" t="str">
        <f>VLOOKUP(COUNTA($B:$B)-1,$A:$J,4,0)</f>
        <v>100 Peachtree Street</v>
      </c>
      <c r="Q10" s="50"/>
      <c r="R10" s="50"/>
      <c r="S10" s="50"/>
      <c r="T10" s="50"/>
      <c r="U10" s="51"/>
      <c r="V10" s="46"/>
      <c r="W10" s="52" t="s">
        <v>44</v>
      </c>
      <c r="X10" s="46"/>
      <c r="Y10" s="256" t="str">
        <f>TEXT(VLOOKUP(COUNTA($B:$B)-1,$A:$J,7,0),0)</f>
        <v>30092</v>
      </c>
      <c r="Z10" s="257"/>
      <c r="AA10" s="50"/>
      <c r="AB10" s="50"/>
      <c r="AC10" s="50"/>
      <c r="AD10" s="51"/>
      <c r="AE10" s="47"/>
      <c r="AF10" s="23"/>
      <c r="AG10" s="23"/>
    </row>
    <row r="11" spans="1:33" x14ac:dyDescent="0.25">
      <c r="A11" s="32">
        <v>8</v>
      </c>
      <c r="B11" s="39"/>
      <c r="C11" s="39"/>
      <c r="D11" s="39"/>
      <c r="E11" s="39"/>
      <c r="F11" s="39"/>
      <c r="G11" s="39"/>
      <c r="H11" s="39"/>
      <c r="I11" s="40"/>
      <c r="J11" s="39"/>
      <c r="K11" s="23"/>
      <c r="L11" s="45"/>
      <c r="M11" s="46"/>
      <c r="N11" s="46"/>
      <c r="O11" s="46"/>
      <c r="P11" s="46"/>
      <c r="Q11" s="46"/>
      <c r="R11" s="46"/>
      <c r="S11" s="46"/>
      <c r="T11" s="46"/>
      <c r="U11" s="46"/>
      <c r="V11" s="46"/>
      <c r="W11" s="46"/>
      <c r="X11" s="46"/>
      <c r="Y11" s="46"/>
      <c r="Z11" s="46"/>
      <c r="AA11" s="46"/>
      <c r="AB11" s="46"/>
      <c r="AC11" s="46"/>
      <c r="AD11" s="46"/>
      <c r="AE11" s="47"/>
      <c r="AF11" s="23"/>
      <c r="AG11" s="23"/>
    </row>
    <row r="12" spans="1:33" x14ac:dyDescent="0.25">
      <c r="A12" s="32">
        <v>9</v>
      </c>
      <c r="B12" s="39"/>
      <c r="C12" s="39"/>
      <c r="D12" s="39"/>
      <c r="E12" s="39"/>
      <c r="F12" s="39"/>
      <c r="G12" s="39"/>
      <c r="H12" s="39"/>
      <c r="I12" s="40"/>
      <c r="J12" s="39"/>
      <c r="K12" s="23"/>
      <c r="L12" s="45"/>
      <c r="M12" s="52" t="s">
        <v>45</v>
      </c>
      <c r="N12" s="46"/>
      <c r="O12" s="46"/>
      <c r="P12" s="49" t="str">
        <f>VLOOKUP(COUNTA($B:$B)-1,$A:$J,8,0)</f>
        <v>770.842.5902</v>
      </c>
      <c r="Q12" s="50"/>
      <c r="R12" s="50"/>
      <c r="S12" s="50"/>
      <c r="T12" s="50"/>
      <c r="U12" s="51"/>
      <c r="V12" s="46"/>
      <c r="W12" s="60" t="s">
        <v>99</v>
      </c>
      <c r="X12" s="46"/>
      <c r="Y12" s="49" t="str">
        <f>VLOOKUP(COUNTA($B:$B)-1,$A:$J,9,0)</f>
        <v>Plan A</v>
      </c>
      <c r="Z12" s="50"/>
      <c r="AA12" s="50"/>
      <c r="AB12" s="50"/>
      <c r="AC12" s="50"/>
      <c r="AD12" s="51"/>
      <c r="AE12" s="47"/>
      <c r="AF12" s="23"/>
      <c r="AG12" s="23"/>
    </row>
    <row r="13" spans="1:33" x14ac:dyDescent="0.25">
      <c r="A13" s="32">
        <v>10</v>
      </c>
      <c r="B13" s="39"/>
      <c r="C13" s="39"/>
      <c r="D13" s="39"/>
      <c r="E13" s="39"/>
      <c r="F13" s="39"/>
      <c r="G13" s="39"/>
      <c r="H13" s="39"/>
      <c r="I13" s="40"/>
      <c r="J13" s="39"/>
      <c r="K13" s="23"/>
      <c r="L13" s="45"/>
      <c r="M13" s="46"/>
      <c r="N13" s="46"/>
      <c r="O13" s="46"/>
      <c r="P13" s="46"/>
      <c r="Q13" s="46"/>
      <c r="R13" s="46"/>
      <c r="S13" s="46"/>
      <c r="T13" s="46"/>
      <c r="U13" s="46"/>
      <c r="V13" s="46"/>
      <c r="W13" s="46"/>
      <c r="X13" s="46"/>
      <c r="Y13" s="46"/>
      <c r="Z13" s="46"/>
      <c r="AA13" s="46"/>
      <c r="AB13" s="46"/>
      <c r="AC13" s="46"/>
      <c r="AD13" s="46"/>
      <c r="AE13" s="47"/>
      <c r="AF13" s="23"/>
      <c r="AG13" s="23"/>
    </row>
    <row r="14" spans="1:33" x14ac:dyDescent="0.25">
      <c r="A14" s="32">
        <v>11</v>
      </c>
      <c r="B14" s="39"/>
      <c r="C14" s="39"/>
      <c r="D14" s="39"/>
      <c r="E14" s="39"/>
      <c r="F14" s="39"/>
      <c r="G14" s="39"/>
      <c r="H14" s="39"/>
      <c r="I14" s="40"/>
      <c r="J14" s="39"/>
      <c r="K14" s="23"/>
      <c r="L14" s="45"/>
      <c r="M14" s="52" t="s">
        <v>90</v>
      </c>
      <c r="N14" s="46"/>
      <c r="O14" s="46"/>
      <c r="P14" s="46"/>
      <c r="Q14" s="46"/>
      <c r="R14" s="46"/>
      <c r="S14" s="46"/>
      <c r="T14" s="46"/>
      <c r="U14" s="46"/>
      <c r="V14" s="46"/>
      <c r="W14" s="46"/>
      <c r="X14" s="46"/>
      <c r="Y14" s="49" t="str">
        <f>TEXT(VLOOKUP(COUNTA($B:$B)-1,$A:$J,10,0),"$#,###.##")</f>
        <v>$124,533.45</v>
      </c>
      <c r="Z14" s="50"/>
      <c r="AA14" s="50"/>
      <c r="AB14" s="50"/>
      <c r="AC14" s="50"/>
      <c r="AD14" s="51"/>
      <c r="AE14" s="47"/>
      <c r="AF14" s="23"/>
      <c r="AG14" s="23"/>
    </row>
    <row r="15" spans="1:33" x14ac:dyDescent="0.25">
      <c r="A15" s="32">
        <v>12</v>
      </c>
      <c r="B15" s="39"/>
      <c r="C15" s="39"/>
      <c r="D15" s="39"/>
      <c r="E15" s="39"/>
      <c r="F15" s="39"/>
      <c r="G15" s="39"/>
      <c r="H15" s="39"/>
      <c r="I15" s="40"/>
      <c r="J15" s="39"/>
      <c r="K15" s="23"/>
      <c r="L15" s="45"/>
      <c r="M15" s="46"/>
      <c r="N15" s="46"/>
      <c r="O15" s="46"/>
      <c r="P15" s="46"/>
      <c r="Q15" s="46"/>
      <c r="R15" s="46"/>
      <c r="S15" s="46"/>
      <c r="T15" s="46"/>
      <c r="U15" s="46"/>
      <c r="V15" s="46"/>
      <c r="W15" s="46"/>
      <c r="X15" s="46"/>
      <c r="Y15" s="46"/>
      <c r="Z15" s="46"/>
      <c r="AA15" s="46"/>
      <c r="AB15" s="46"/>
      <c r="AC15" s="46"/>
      <c r="AD15" s="46"/>
      <c r="AE15" s="47"/>
      <c r="AF15" s="23"/>
      <c r="AG15" s="23"/>
    </row>
    <row r="16" spans="1:33" x14ac:dyDescent="0.25">
      <c r="A16" s="32">
        <v>13</v>
      </c>
      <c r="B16" s="39"/>
      <c r="C16" s="39"/>
      <c r="D16" s="39"/>
      <c r="E16" s="39"/>
      <c r="F16" s="39"/>
      <c r="G16" s="39"/>
      <c r="H16" s="39"/>
      <c r="I16" s="40"/>
      <c r="J16" s="39"/>
      <c r="K16" s="23"/>
      <c r="L16" s="303" t="s">
        <v>91</v>
      </c>
      <c r="M16" s="304"/>
      <c r="N16" s="304"/>
      <c r="O16" s="304"/>
      <c r="P16" s="304"/>
      <c r="Q16" s="304"/>
      <c r="R16" s="304"/>
      <c r="S16" s="304"/>
      <c r="T16" s="304"/>
      <c r="U16" s="304"/>
      <c r="V16" s="304"/>
      <c r="W16" s="304"/>
      <c r="X16" s="304"/>
      <c r="Y16" s="304"/>
      <c r="Z16" s="304"/>
      <c r="AA16" s="304"/>
      <c r="AB16" s="304"/>
      <c r="AC16" s="304"/>
      <c r="AD16" s="304"/>
      <c r="AE16" s="305"/>
      <c r="AF16" s="23"/>
      <c r="AG16" s="23"/>
    </row>
    <row r="17" spans="1:33" ht="16.5" thickBot="1" x14ac:dyDescent="0.3">
      <c r="A17" s="32">
        <v>14</v>
      </c>
      <c r="B17" s="39"/>
      <c r="C17" s="39"/>
      <c r="D17" s="39"/>
      <c r="E17" s="39"/>
      <c r="F17" s="39"/>
      <c r="G17" s="39"/>
      <c r="H17" s="39"/>
      <c r="I17" s="40"/>
      <c r="J17" s="39"/>
      <c r="K17" s="23"/>
      <c r="L17" s="61"/>
      <c r="M17" s="62"/>
      <c r="N17" s="62"/>
      <c r="O17" s="62"/>
      <c r="P17" s="62"/>
      <c r="Q17" s="62"/>
      <c r="R17" s="62"/>
      <c r="S17" s="62"/>
      <c r="T17" s="62"/>
      <c r="U17" s="62"/>
      <c r="V17" s="62"/>
      <c r="W17" s="62"/>
      <c r="X17" s="62"/>
      <c r="Y17" s="62"/>
      <c r="Z17" s="62"/>
      <c r="AA17" s="62"/>
      <c r="AB17" s="62"/>
      <c r="AC17" s="62"/>
      <c r="AD17" s="62"/>
      <c r="AE17" s="63"/>
      <c r="AF17" s="23"/>
      <c r="AG17" s="23"/>
    </row>
    <row r="18" spans="1:33" x14ac:dyDescent="0.25">
      <c r="A18" s="32">
        <v>15</v>
      </c>
      <c r="B18" s="39"/>
      <c r="C18" s="39"/>
      <c r="D18" s="39"/>
      <c r="E18" s="39"/>
      <c r="F18" s="39"/>
      <c r="G18" s="39"/>
      <c r="H18" s="39"/>
      <c r="I18" s="40"/>
      <c r="J18" s="39"/>
      <c r="K18" s="23"/>
      <c r="L18" s="23"/>
      <c r="M18" s="23"/>
      <c r="N18" s="23"/>
      <c r="O18" s="23"/>
      <c r="P18" s="23"/>
      <c r="Q18" s="23"/>
      <c r="R18" s="23"/>
      <c r="S18" s="23"/>
      <c r="T18" s="23"/>
      <c r="U18" s="23"/>
      <c r="V18" s="23"/>
      <c r="W18" s="23"/>
      <c r="X18" s="23"/>
      <c r="Y18" s="23"/>
      <c r="Z18" s="23"/>
      <c r="AA18" s="23"/>
      <c r="AB18" s="23"/>
      <c r="AC18" s="23"/>
      <c r="AD18" s="23"/>
      <c r="AE18" s="23"/>
      <c r="AF18" s="23"/>
      <c r="AG18" s="23"/>
    </row>
    <row r="19" spans="1:33" x14ac:dyDescent="0.25">
      <c r="A19" s="32">
        <v>16</v>
      </c>
      <c r="B19" s="39"/>
      <c r="C19" s="39"/>
      <c r="D19" s="39"/>
      <c r="E19" s="39"/>
      <c r="F19" s="39"/>
      <c r="G19" s="39"/>
      <c r="H19" s="39"/>
      <c r="I19" s="40"/>
      <c r="J19" s="39"/>
      <c r="K19" s="23"/>
      <c r="L19" s="23"/>
      <c r="M19" s="23"/>
      <c r="N19" s="23"/>
      <c r="O19" s="23"/>
      <c r="P19" s="23"/>
      <c r="Q19" s="23"/>
      <c r="R19" s="23"/>
      <c r="S19" s="23"/>
      <c r="T19" s="23"/>
      <c r="U19" s="23"/>
      <c r="V19" s="23"/>
      <c r="W19" s="23"/>
      <c r="X19" s="23"/>
      <c r="Y19" s="23"/>
      <c r="Z19" s="23"/>
      <c r="AA19" s="23"/>
      <c r="AB19" s="23"/>
      <c r="AC19" s="23"/>
      <c r="AD19" s="23"/>
      <c r="AE19" s="23"/>
      <c r="AF19" s="23"/>
      <c r="AG19" s="23"/>
    </row>
    <row r="20" spans="1:33" x14ac:dyDescent="0.25">
      <c r="A20" s="32">
        <v>17</v>
      </c>
      <c r="B20" s="39"/>
      <c r="C20" s="39"/>
      <c r="D20" s="39"/>
      <c r="E20" s="39"/>
      <c r="F20" s="39"/>
      <c r="G20" s="39"/>
      <c r="H20" s="39"/>
      <c r="I20" s="40"/>
      <c r="J20" s="39"/>
      <c r="K20" s="23"/>
      <c r="L20" s="23"/>
      <c r="M20" s="23"/>
      <c r="N20" s="23"/>
      <c r="O20" s="23"/>
      <c r="P20" s="23"/>
      <c r="Q20" s="23"/>
      <c r="R20" s="23"/>
      <c r="S20" s="23"/>
      <c r="T20" s="23"/>
      <c r="U20" s="23"/>
      <c r="V20" s="23"/>
      <c r="W20" s="23"/>
      <c r="X20" s="23"/>
      <c r="Y20" s="23"/>
      <c r="Z20" s="23"/>
      <c r="AA20" s="23"/>
      <c r="AB20" s="23"/>
      <c r="AC20" s="23"/>
      <c r="AD20" s="23"/>
      <c r="AE20" s="23"/>
      <c r="AF20" s="23"/>
      <c r="AG20" s="23"/>
    </row>
    <row r="21" spans="1:33" x14ac:dyDescent="0.25">
      <c r="A21" s="32">
        <v>18</v>
      </c>
      <c r="B21" s="39"/>
      <c r="C21" s="39"/>
      <c r="D21" s="39"/>
      <c r="E21" s="39"/>
      <c r="F21" s="39"/>
      <c r="G21" s="39"/>
      <c r="H21" s="39"/>
      <c r="I21" s="40"/>
      <c r="J21" s="39"/>
      <c r="K21" s="23"/>
      <c r="L21" s="23"/>
      <c r="M21" s="23"/>
      <c r="N21" s="23"/>
      <c r="O21" s="23"/>
      <c r="P21" s="23"/>
      <c r="Q21" s="23"/>
      <c r="R21" s="23"/>
      <c r="S21" s="23"/>
      <c r="T21" s="23"/>
      <c r="U21" s="23"/>
      <c r="V21" s="23"/>
      <c r="W21" s="23"/>
      <c r="X21" s="23"/>
      <c r="Y21" s="23"/>
      <c r="Z21" s="23"/>
      <c r="AA21" s="23"/>
      <c r="AB21" s="23"/>
      <c r="AC21" s="23"/>
      <c r="AD21" s="23"/>
      <c r="AE21" s="23"/>
      <c r="AF21" s="23"/>
      <c r="AG21" s="23"/>
    </row>
    <row r="22" spans="1:33" x14ac:dyDescent="0.25">
      <c r="A22" s="32">
        <v>19</v>
      </c>
      <c r="B22" s="39"/>
      <c r="C22" s="39"/>
      <c r="D22" s="39"/>
      <c r="E22" s="39"/>
      <c r="F22" s="39"/>
      <c r="G22" s="39"/>
      <c r="H22" s="39"/>
      <c r="I22" s="40"/>
      <c r="J22" s="39"/>
      <c r="K22" s="23"/>
      <c r="L22" s="23"/>
      <c r="M22" s="23"/>
      <c r="N22" s="23"/>
      <c r="O22" s="23"/>
      <c r="P22" s="23"/>
      <c r="Q22" s="23"/>
      <c r="R22" s="23"/>
      <c r="S22" s="23"/>
      <c r="T22" s="23"/>
      <c r="U22" s="23"/>
      <c r="V22" s="23"/>
      <c r="W22" s="23"/>
      <c r="X22" s="23"/>
      <c r="Y22" s="23"/>
      <c r="Z22" s="23"/>
      <c r="AA22" s="23"/>
      <c r="AB22" s="23"/>
      <c r="AC22" s="23"/>
      <c r="AD22" s="23"/>
      <c r="AE22" s="23"/>
      <c r="AF22" s="23"/>
      <c r="AG22" s="23"/>
    </row>
    <row r="23" spans="1:33" x14ac:dyDescent="0.25">
      <c r="A23" s="32">
        <v>20</v>
      </c>
      <c r="B23" s="39"/>
      <c r="C23" s="39"/>
      <c r="D23" s="39"/>
      <c r="E23" s="39"/>
      <c r="F23" s="39"/>
      <c r="G23" s="39"/>
      <c r="H23" s="39"/>
      <c r="I23" s="40"/>
      <c r="J23" s="39"/>
      <c r="K23" s="23"/>
      <c r="L23" s="23"/>
      <c r="M23" s="23"/>
      <c r="N23" s="23"/>
      <c r="O23" s="23"/>
      <c r="P23" s="23"/>
      <c r="Q23" s="23"/>
      <c r="R23" s="23"/>
      <c r="S23" s="23"/>
      <c r="T23" s="23"/>
      <c r="U23" s="23"/>
      <c r="V23" s="23"/>
      <c r="W23" s="23"/>
      <c r="X23" s="23"/>
      <c r="Y23" s="23"/>
      <c r="Z23" s="23"/>
      <c r="AA23" s="23"/>
      <c r="AB23" s="23"/>
      <c r="AC23" s="23"/>
      <c r="AD23" s="23"/>
      <c r="AE23" s="23"/>
      <c r="AF23" s="23"/>
      <c r="AG23" s="23"/>
    </row>
    <row r="24" spans="1:33" x14ac:dyDescent="0.25">
      <c r="A24" s="32">
        <v>21</v>
      </c>
      <c r="B24" s="39"/>
      <c r="C24" s="39"/>
      <c r="D24" s="39"/>
      <c r="E24" s="39"/>
      <c r="F24" s="39"/>
      <c r="G24" s="39"/>
      <c r="H24" s="39"/>
      <c r="I24" s="40"/>
      <c r="J24" s="39"/>
      <c r="K24" s="23"/>
      <c r="L24" s="23"/>
      <c r="M24" s="23"/>
      <c r="N24" s="23"/>
      <c r="O24" s="23"/>
      <c r="P24" s="23"/>
      <c r="Q24" s="23"/>
      <c r="R24" s="23"/>
      <c r="S24" s="23"/>
      <c r="T24" s="23"/>
      <c r="U24" s="23"/>
      <c r="V24" s="23"/>
      <c r="W24" s="23"/>
      <c r="X24" s="23"/>
      <c r="Y24" s="23"/>
      <c r="Z24" s="23"/>
      <c r="AA24" s="23"/>
      <c r="AB24" s="23"/>
      <c r="AC24" s="23"/>
      <c r="AD24" s="23"/>
      <c r="AE24" s="23"/>
      <c r="AF24" s="23"/>
      <c r="AG24" s="23"/>
    </row>
    <row r="25" spans="1:33" x14ac:dyDescent="0.25">
      <c r="A25" s="32">
        <v>22</v>
      </c>
      <c r="B25" s="39"/>
      <c r="C25" s="39"/>
      <c r="D25" s="39"/>
      <c r="E25" s="39"/>
      <c r="F25" s="39"/>
      <c r="G25" s="39"/>
      <c r="H25" s="39"/>
      <c r="I25" s="40"/>
      <c r="J25" s="39"/>
      <c r="K25" s="23"/>
      <c r="L25" s="23"/>
      <c r="M25" s="23"/>
      <c r="N25" s="23"/>
      <c r="O25" s="23"/>
      <c r="P25" s="23"/>
      <c r="Q25" s="23"/>
      <c r="R25" s="23"/>
      <c r="S25" s="23"/>
      <c r="T25" s="23"/>
      <c r="U25" s="23"/>
      <c r="V25" s="23"/>
      <c r="W25" s="23"/>
      <c r="X25" s="23"/>
      <c r="Y25" s="23"/>
      <c r="Z25" s="23"/>
      <c r="AA25" s="23"/>
      <c r="AB25" s="23"/>
      <c r="AC25" s="23"/>
      <c r="AD25" s="23"/>
      <c r="AE25" s="23"/>
      <c r="AF25" s="23"/>
      <c r="AG25" s="23"/>
    </row>
    <row r="26" spans="1:33" x14ac:dyDescent="0.25">
      <c r="A26" s="32">
        <v>23</v>
      </c>
      <c r="B26" s="39"/>
      <c r="C26" s="39"/>
      <c r="D26" s="39"/>
      <c r="E26" s="39"/>
      <c r="F26" s="39"/>
      <c r="G26" s="39"/>
      <c r="H26" s="39"/>
      <c r="I26" s="40"/>
      <c r="J26" s="39"/>
      <c r="K26" s="23"/>
      <c r="L26" s="23"/>
      <c r="M26" s="23"/>
      <c r="N26" s="23"/>
      <c r="O26" s="23"/>
      <c r="P26" s="23"/>
      <c r="Q26" s="23"/>
      <c r="R26" s="23"/>
      <c r="S26" s="23"/>
      <c r="T26" s="23"/>
      <c r="U26" s="23"/>
      <c r="V26" s="23"/>
      <c r="W26" s="23"/>
      <c r="X26" s="23"/>
      <c r="Y26" s="23"/>
      <c r="Z26" s="23"/>
      <c r="AA26" s="23"/>
      <c r="AB26" s="23"/>
      <c r="AC26" s="23"/>
      <c r="AD26" s="23"/>
      <c r="AE26" s="23"/>
      <c r="AF26" s="23"/>
      <c r="AG26" s="23"/>
    </row>
    <row r="27" spans="1:33" x14ac:dyDescent="0.25">
      <c r="A27" s="32">
        <v>24</v>
      </c>
      <c r="B27" s="39"/>
      <c r="C27" s="39"/>
      <c r="D27" s="39"/>
      <c r="E27" s="39"/>
      <c r="F27" s="39"/>
      <c r="G27" s="39"/>
      <c r="H27" s="39"/>
      <c r="I27" s="40"/>
      <c r="J27" s="39"/>
      <c r="K27" s="23"/>
      <c r="L27" s="23"/>
      <c r="M27" s="23"/>
      <c r="N27" s="23"/>
      <c r="O27" s="23"/>
      <c r="P27" s="23"/>
      <c r="Q27" s="23"/>
      <c r="R27" s="23"/>
      <c r="S27" s="23"/>
      <c r="T27" s="23"/>
      <c r="U27" s="23"/>
      <c r="V27" s="23"/>
      <c r="W27" s="23"/>
      <c r="X27" s="23"/>
      <c r="Y27" s="23"/>
      <c r="Z27" s="23"/>
      <c r="AA27" s="23"/>
      <c r="AB27" s="23"/>
      <c r="AC27" s="23"/>
      <c r="AD27" s="23"/>
      <c r="AE27" s="23"/>
      <c r="AF27" s="23"/>
      <c r="AG27" s="23"/>
    </row>
    <row r="28" spans="1:33" x14ac:dyDescent="0.25">
      <c r="A28" s="32">
        <v>25</v>
      </c>
      <c r="B28" s="39"/>
      <c r="C28" s="39"/>
      <c r="D28" s="39"/>
      <c r="E28" s="39"/>
      <c r="F28" s="39"/>
      <c r="G28" s="39"/>
      <c r="H28" s="39"/>
      <c r="I28" s="40"/>
      <c r="J28" s="39"/>
      <c r="K28" s="23"/>
      <c r="L28" s="23"/>
      <c r="M28" s="23"/>
      <c r="N28" s="23"/>
      <c r="O28" s="23"/>
      <c r="P28" s="23"/>
      <c r="Q28" s="23"/>
      <c r="R28" s="23"/>
      <c r="S28" s="23"/>
      <c r="T28" s="23"/>
      <c r="U28" s="23"/>
      <c r="V28" s="23"/>
      <c r="W28" s="23"/>
      <c r="X28" s="23"/>
      <c r="Y28" s="23"/>
      <c r="Z28" s="23"/>
      <c r="AA28" s="23"/>
      <c r="AB28" s="23"/>
      <c r="AC28" s="23"/>
      <c r="AD28" s="23"/>
      <c r="AE28" s="23"/>
      <c r="AF28" s="23"/>
      <c r="AG28" s="23"/>
    </row>
  </sheetData>
  <mergeCells count="2">
    <mergeCell ref="L4:AE4"/>
    <mergeCell ref="L16:AE16"/>
  </mergeCells>
  <pageMargins left="0.7" right="0.7" top="0.75" bottom="0.75" header="0.3" footer="0.3"/>
  <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dimension ref="A1:AG28"/>
  <sheetViews>
    <sheetView showGridLines="0" workbookViewId="0">
      <selection activeCell="S33" sqref="S33"/>
    </sheetView>
  </sheetViews>
  <sheetFormatPr defaultRowHeight="15.75" x14ac:dyDescent="0.25"/>
  <cols>
    <col min="1" max="1" width="7.875" bestFit="1" customWidth="1"/>
    <col min="2" max="3" width="10" bestFit="1" customWidth="1"/>
    <col min="4" max="4" width="19" bestFit="1" customWidth="1"/>
    <col min="5" max="5" width="8.375" bestFit="1" customWidth="1"/>
    <col min="6" max="6" width="5.375" bestFit="1" customWidth="1"/>
    <col min="7" max="7" width="5.875" bestFit="1" customWidth="1"/>
    <col min="8" max="8" width="11.875" bestFit="1" customWidth="1"/>
    <col min="9" max="9" width="11.875" customWidth="1"/>
    <col min="10" max="10" width="12.125" bestFit="1" customWidth="1"/>
    <col min="11" max="11" width="3.75" customWidth="1"/>
    <col min="12" max="31" width="3.625" customWidth="1"/>
    <col min="32" max="32" width="3" customWidth="1"/>
  </cols>
  <sheetData>
    <row r="1" spans="1:33" x14ac:dyDescent="0.25">
      <c r="A1" s="16"/>
      <c r="B1" s="16"/>
      <c r="C1" s="16"/>
      <c r="D1" s="16"/>
      <c r="E1" s="16"/>
      <c r="F1" s="16"/>
      <c r="G1" s="16"/>
      <c r="H1" s="16"/>
      <c r="I1" s="16"/>
      <c r="J1" s="16"/>
      <c r="K1" s="16"/>
      <c r="L1" s="16"/>
      <c r="M1" s="16"/>
      <c r="N1" s="16"/>
      <c r="O1" s="16"/>
      <c r="P1" s="16"/>
      <c r="Q1" s="16"/>
      <c r="R1" s="16"/>
      <c r="S1" s="17">
        <f t="shared" ref="S1:AB1" si="0">VLOOKUP(MAX($A$3:$A$147),$A$3:$H$147,2)</f>
        <v>0</v>
      </c>
      <c r="T1" s="17">
        <f t="shared" si="0"/>
        <v>0</v>
      </c>
      <c r="U1" s="17">
        <f t="shared" si="0"/>
        <v>0</v>
      </c>
      <c r="V1" s="17">
        <f t="shared" si="0"/>
        <v>0</v>
      </c>
      <c r="W1" s="17">
        <f t="shared" si="0"/>
        <v>0</v>
      </c>
      <c r="X1" s="17">
        <f t="shared" si="0"/>
        <v>0</v>
      </c>
      <c r="Y1" s="17">
        <f t="shared" si="0"/>
        <v>0</v>
      </c>
      <c r="Z1" s="17">
        <f t="shared" si="0"/>
        <v>0</v>
      </c>
      <c r="AA1" s="17">
        <f t="shared" si="0"/>
        <v>0</v>
      </c>
      <c r="AB1" s="17">
        <f t="shared" si="0"/>
        <v>0</v>
      </c>
      <c r="AC1" s="18"/>
      <c r="AD1" s="18"/>
      <c r="AE1" s="18"/>
      <c r="AF1" s="18"/>
      <c r="AG1" s="18"/>
    </row>
    <row r="2" spans="1:33" ht="16.5" thickBot="1" x14ac:dyDescent="0.3">
      <c r="A2" s="73"/>
      <c r="B2" s="20"/>
      <c r="C2" s="20"/>
      <c r="D2" s="20"/>
      <c r="E2" s="20"/>
      <c r="F2" s="20"/>
      <c r="G2" s="20"/>
      <c r="H2" s="20"/>
      <c r="I2" s="22"/>
      <c r="J2" s="20"/>
      <c r="K2" s="23"/>
      <c r="L2" s="23"/>
      <c r="M2" s="23"/>
      <c r="N2" s="23"/>
      <c r="O2" s="23"/>
      <c r="P2" s="23"/>
      <c r="Q2" s="23"/>
      <c r="R2" s="23"/>
      <c r="S2" s="23"/>
      <c r="T2" s="23"/>
      <c r="U2" s="23"/>
      <c r="V2" s="23"/>
      <c r="W2" s="23"/>
      <c r="X2" s="23"/>
      <c r="Y2" s="23"/>
      <c r="Z2" s="23"/>
      <c r="AA2" s="23"/>
      <c r="AB2" s="23"/>
      <c r="AC2" s="23"/>
      <c r="AD2" s="23"/>
      <c r="AE2" s="23"/>
      <c r="AF2" s="23"/>
      <c r="AG2" s="23"/>
    </row>
    <row r="3" spans="1:33" x14ac:dyDescent="0.25">
      <c r="A3" s="68" t="s">
        <v>38</v>
      </c>
      <c r="B3" s="69" t="s">
        <v>39</v>
      </c>
      <c r="C3" s="69" t="s">
        <v>40</v>
      </c>
      <c r="D3" s="69" t="s">
        <v>41</v>
      </c>
      <c r="E3" s="68" t="s">
        <v>42</v>
      </c>
      <c r="F3" s="68" t="s">
        <v>43</v>
      </c>
      <c r="G3" s="68" t="s">
        <v>44</v>
      </c>
      <c r="H3" s="68" t="s">
        <v>45</v>
      </c>
      <c r="I3" s="68" t="s">
        <v>46</v>
      </c>
      <c r="J3" s="68" t="s">
        <v>47</v>
      </c>
      <c r="K3" s="23"/>
      <c r="L3" s="29"/>
      <c r="M3" s="30"/>
      <c r="N3" s="30"/>
      <c r="O3" s="30"/>
      <c r="P3" s="30"/>
      <c r="Q3" s="30"/>
      <c r="R3" s="30"/>
      <c r="S3" s="30"/>
      <c r="T3" s="30"/>
      <c r="U3" s="30"/>
      <c r="V3" s="30"/>
      <c r="W3" s="30"/>
      <c r="X3" s="30"/>
      <c r="Y3" s="30"/>
      <c r="Z3" s="30"/>
      <c r="AA3" s="30"/>
      <c r="AB3" s="30"/>
      <c r="AC3" s="30"/>
      <c r="AD3" s="30"/>
      <c r="AE3" s="31"/>
      <c r="AF3" s="23"/>
      <c r="AG3" s="23"/>
    </row>
    <row r="4" spans="1:33" x14ac:dyDescent="0.25">
      <c r="A4" s="32">
        <v>1</v>
      </c>
      <c r="B4" s="33" t="s">
        <v>48</v>
      </c>
      <c r="C4" s="34" t="s">
        <v>49</v>
      </c>
      <c r="D4" s="34" t="s">
        <v>50</v>
      </c>
      <c r="E4" s="34" t="s">
        <v>51</v>
      </c>
      <c r="F4" s="35" t="s">
        <v>52</v>
      </c>
      <c r="G4" s="35">
        <v>30062</v>
      </c>
      <c r="H4" s="33" t="s">
        <v>53</v>
      </c>
      <c r="I4" s="37" t="s">
        <v>54</v>
      </c>
      <c r="J4" s="70">
        <v>157665</v>
      </c>
      <c r="K4" s="23"/>
      <c r="L4" s="300" t="s">
        <v>55</v>
      </c>
      <c r="M4" s="301"/>
      <c r="N4" s="301"/>
      <c r="O4" s="301"/>
      <c r="P4" s="301"/>
      <c r="Q4" s="301"/>
      <c r="R4" s="301"/>
      <c r="S4" s="301"/>
      <c r="T4" s="301"/>
      <c r="U4" s="301"/>
      <c r="V4" s="301"/>
      <c r="W4" s="301"/>
      <c r="X4" s="301"/>
      <c r="Y4" s="301"/>
      <c r="Z4" s="301"/>
      <c r="AA4" s="301"/>
      <c r="AB4" s="301"/>
      <c r="AC4" s="301"/>
      <c r="AD4" s="301"/>
      <c r="AE4" s="302"/>
      <c r="AF4" s="23"/>
      <c r="AG4" s="23"/>
    </row>
    <row r="5" spans="1:33" x14ac:dyDescent="0.25">
      <c r="A5" s="32">
        <v>2</v>
      </c>
      <c r="B5" s="39" t="s">
        <v>56</v>
      </c>
      <c r="C5" s="39" t="s">
        <v>57</v>
      </c>
      <c r="D5" s="39" t="s">
        <v>58</v>
      </c>
      <c r="E5" s="39" t="s">
        <v>51</v>
      </c>
      <c r="F5" s="40" t="s">
        <v>52</v>
      </c>
      <c r="G5" s="40">
        <v>30063</v>
      </c>
      <c r="H5" s="42" t="s">
        <v>59</v>
      </c>
      <c r="I5" s="43" t="s">
        <v>60</v>
      </c>
      <c r="J5" s="71">
        <v>156340</v>
      </c>
      <c r="K5" s="23"/>
      <c r="L5" s="45"/>
      <c r="M5" s="46"/>
      <c r="N5" s="46"/>
      <c r="O5" s="46"/>
      <c r="P5" s="46"/>
      <c r="Q5" s="46"/>
      <c r="R5" s="46"/>
      <c r="S5" s="46"/>
      <c r="T5" s="46"/>
      <c r="U5" s="46"/>
      <c r="V5" s="46"/>
      <c r="W5" s="46"/>
      <c r="X5" s="46"/>
      <c r="Y5" s="46"/>
      <c r="Z5" s="46"/>
      <c r="AA5" s="46"/>
      <c r="AB5" s="46"/>
      <c r="AC5" s="46"/>
      <c r="AD5" s="46"/>
      <c r="AE5" s="47"/>
      <c r="AF5" s="23"/>
      <c r="AG5" s="23"/>
    </row>
    <row r="6" spans="1:33" x14ac:dyDescent="0.25">
      <c r="A6" s="32">
        <v>3</v>
      </c>
      <c r="B6" s="39" t="s">
        <v>61</v>
      </c>
      <c r="C6" s="42" t="s">
        <v>62</v>
      </c>
      <c r="D6" s="39" t="s">
        <v>63</v>
      </c>
      <c r="E6" s="39" t="s">
        <v>51</v>
      </c>
      <c r="F6" s="40" t="s">
        <v>52</v>
      </c>
      <c r="G6" s="40">
        <v>30064</v>
      </c>
      <c r="H6" s="42" t="s">
        <v>64</v>
      </c>
      <c r="I6" s="43" t="s">
        <v>65</v>
      </c>
      <c r="J6" s="71">
        <v>81480</v>
      </c>
      <c r="K6" s="23"/>
      <c r="L6" s="45"/>
      <c r="M6" s="48" t="s">
        <v>39</v>
      </c>
      <c r="N6" s="46"/>
      <c r="O6" s="46"/>
      <c r="P6" s="258" t="str">
        <f>INDEX(B:B,MATCH(REPT("z",255),B:B))</f>
        <v>Adams</v>
      </c>
      <c r="Q6" s="50"/>
      <c r="R6" s="50"/>
      <c r="S6" s="50"/>
      <c r="T6" s="50"/>
      <c r="U6" s="51"/>
      <c r="V6" s="46"/>
      <c r="W6" s="52" t="s">
        <v>42</v>
      </c>
      <c r="X6" s="46"/>
      <c r="Y6" s="258" t="str">
        <f>INDEX(E:E,MATCH(REPT("z",255),E:E))</f>
        <v>Boys Town</v>
      </c>
      <c r="Z6" s="50"/>
      <c r="AA6" s="50"/>
      <c r="AB6" s="50"/>
      <c r="AC6" s="50"/>
      <c r="AD6" s="51"/>
      <c r="AE6" s="47"/>
      <c r="AF6" s="23"/>
      <c r="AG6" s="23"/>
    </row>
    <row r="7" spans="1:33" x14ac:dyDescent="0.25">
      <c r="A7" s="32">
        <v>4</v>
      </c>
      <c r="B7" s="39" t="s">
        <v>66</v>
      </c>
      <c r="C7" s="42" t="s">
        <v>67</v>
      </c>
      <c r="D7" s="39" t="s">
        <v>68</v>
      </c>
      <c r="E7" s="39" t="s">
        <v>51</v>
      </c>
      <c r="F7" s="40" t="s">
        <v>52</v>
      </c>
      <c r="G7" s="40">
        <v>30065</v>
      </c>
      <c r="H7" s="42" t="s">
        <v>69</v>
      </c>
      <c r="I7" s="43" t="s">
        <v>54</v>
      </c>
      <c r="J7" s="71">
        <v>202578</v>
      </c>
      <c r="K7" s="23"/>
      <c r="L7" s="45"/>
      <c r="M7" s="46"/>
      <c r="N7" s="46"/>
      <c r="O7" s="46"/>
      <c r="P7" s="46"/>
      <c r="Q7" s="46"/>
      <c r="R7" s="46"/>
      <c r="S7" s="46"/>
      <c r="T7" s="46"/>
      <c r="U7" s="46"/>
      <c r="V7" s="46"/>
      <c r="W7" s="46"/>
      <c r="X7" s="46"/>
      <c r="Y7" s="46"/>
      <c r="Z7" s="46"/>
      <c r="AA7" s="46"/>
      <c r="AB7" s="46"/>
      <c r="AC7" s="46"/>
      <c r="AD7" s="46"/>
      <c r="AE7" s="47"/>
      <c r="AF7" s="23"/>
      <c r="AG7" s="23"/>
    </row>
    <row r="8" spans="1:33" x14ac:dyDescent="0.25">
      <c r="A8" s="32">
        <v>5</v>
      </c>
      <c r="B8" s="42" t="s">
        <v>70</v>
      </c>
      <c r="C8" s="39" t="s">
        <v>71</v>
      </c>
      <c r="D8" s="39" t="s">
        <v>72</v>
      </c>
      <c r="E8" s="39" t="s">
        <v>51</v>
      </c>
      <c r="F8" s="40" t="s">
        <v>52</v>
      </c>
      <c r="G8" s="40">
        <v>30066</v>
      </c>
      <c r="H8" s="42" t="s">
        <v>73</v>
      </c>
      <c r="I8" s="43" t="s">
        <v>60</v>
      </c>
      <c r="J8" s="71">
        <v>177209</v>
      </c>
      <c r="K8" s="23"/>
      <c r="L8" s="45"/>
      <c r="M8" s="48" t="s">
        <v>40</v>
      </c>
      <c r="N8" s="46"/>
      <c r="O8" s="46"/>
      <c r="P8" s="258" t="str">
        <f>INDEX(C:C,MATCH(REPT("z",255),C:C))</f>
        <v>Raymond</v>
      </c>
      <c r="Q8" s="50"/>
      <c r="R8" s="50"/>
      <c r="S8" s="50"/>
      <c r="T8" s="50"/>
      <c r="U8" s="51"/>
      <c r="V8" s="46"/>
      <c r="W8" s="52" t="s">
        <v>43</v>
      </c>
      <c r="X8" s="46"/>
      <c r="Y8" s="258" t="str">
        <f>INDEX(F:F,MATCH(REPT("z",255),F:F))</f>
        <v>NE</v>
      </c>
      <c r="Z8" s="50"/>
      <c r="AA8" s="50"/>
      <c r="AB8" s="50"/>
      <c r="AC8" s="50"/>
      <c r="AD8" s="51"/>
      <c r="AE8" s="47"/>
      <c r="AF8" s="23"/>
      <c r="AG8" s="23"/>
    </row>
    <row r="9" spans="1:33" x14ac:dyDescent="0.25">
      <c r="A9" s="32">
        <v>6</v>
      </c>
      <c r="B9" s="39" t="s">
        <v>74</v>
      </c>
      <c r="C9" s="39" t="s">
        <v>75</v>
      </c>
      <c r="D9" s="39" t="s">
        <v>76</v>
      </c>
      <c r="E9" s="39" t="s">
        <v>77</v>
      </c>
      <c r="F9" s="40" t="s">
        <v>52</v>
      </c>
      <c r="G9" s="40">
        <v>30092</v>
      </c>
      <c r="H9" s="42" t="s">
        <v>78</v>
      </c>
      <c r="I9" s="43" t="s">
        <v>65</v>
      </c>
      <c r="J9" s="71">
        <v>212254.23</v>
      </c>
      <c r="K9" s="23"/>
      <c r="L9" s="45"/>
      <c r="M9" s="46"/>
      <c r="N9" s="46"/>
      <c r="O9" s="46"/>
      <c r="P9" s="46"/>
      <c r="Q9" s="46"/>
      <c r="R9" s="46"/>
      <c r="S9" s="46"/>
      <c r="T9" s="46"/>
      <c r="U9" s="46"/>
      <c r="V9" s="46"/>
      <c r="W9" s="46"/>
      <c r="X9" s="46"/>
      <c r="Y9" s="46"/>
      <c r="Z9" s="46"/>
      <c r="AA9" s="46"/>
      <c r="AB9" s="46"/>
      <c r="AC9" s="46"/>
      <c r="AD9" s="46"/>
      <c r="AE9" s="47"/>
      <c r="AF9" s="23"/>
      <c r="AG9" s="23"/>
    </row>
    <row r="10" spans="1:33" x14ac:dyDescent="0.25">
      <c r="A10" s="32">
        <v>7</v>
      </c>
      <c r="B10" s="259" t="s">
        <v>79</v>
      </c>
      <c r="C10" s="39" t="s">
        <v>80</v>
      </c>
      <c r="D10" s="39" t="s">
        <v>50</v>
      </c>
      <c r="E10" s="39" t="s">
        <v>81</v>
      </c>
      <c r="F10" s="40" t="s">
        <v>82</v>
      </c>
      <c r="G10" s="40">
        <v>30092</v>
      </c>
      <c r="H10" s="42" t="s">
        <v>53</v>
      </c>
      <c r="I10" s="43" t="s">
        <v>54</v>
      </c>
      <c r="J10" s="71">
        <v>124533.45</v>
      </c>
      <c r="K10" s="23"/>
      <c r="L10" s="45"/>
      <c r="M10" s="48" t="s">
        <v>41</v>
      </c>
      <c r="N10" s="46"/>
      <c r="O10" s="46"/>
      <c r="P10" s="258" t="str">
        <f>INDEX(D:D,MATCH(REPT("z",255),D:D))</f>
        <v>14086 mtl</v>
      </c>
      <c r="Q10" s="50"/>
      <c r="R10" s="50"/>
      <c r="S10" s="50"/>
      <c r="T10" s="50"/>
      <c r="U10" s="51"/>
      <c r="V10" s="46"/>
      <c r="W10" s="52" t="s">
        <v>44</v>
      </c>
      <c r="X10" s="46"/>
      <c r="Y10" s="397">
        <f>INDEX(G:G,MATCH(9.99999999999999E+307,G:G))</f>
        <v>68010</v>
      </c>
      <c r="Z10" s="397"/>
      <c r="AA10" s="397"/>
      <c r="AB10" s="50"/>
      <c r="AC10" s="50"/>
      <c r="AD10" s="51"/>
      <c r="AE10" s="47"/>
      <c r="AF10" s="23"/>
      <c r="AG10" s="23"/>
    </row>
    <row r="11" spans="1:33" x14ac:dyDescent="0.25">
      <c r="A11" s="32">
        <v>8</v>
      </c>
      <c r="B11" s="39" t="s">
        <v>218</v>
      </c>
      <c r="C11" s="39" t="s">
        <v>319</v>
      </c>
      <c r="D11" s="39" t="s">
        <v>320</v>
      </c>
      <c r="E11" s="39" t="s">
        <v>321</v>
      </c>
      <c r="F11" s="39" t="s">
        <v>322</v>
      </c>
      <c r="G11" s="39">
        <v>68010</v>
      </c>
      <c r="H11" s="39" t="s">
        <v>323</v>
      </c>
      <c r="I11" s="40" t="s">
        <v>65</v>
      </c>
      <c r="J11" s="71">
        <v>300000</v>
      </c>
      <c r="K11" s="23"/>
      <c r="L11" s="45"/>
      <c r="M11" s="46"/>
      <c r="N11" s="46"/>
      <c r="O11" s="46"/>
      <c r="P11" s="46"/>
      <c r="Q11" s="46"/>
      <c r="R11" s="46"/>
      <c r="S11" s="46"/>
      <c r="T11" s="46"/>
      <c r="U11" s="46"/>
      <c r="V11" s="46"/>
      <c r="W11" s="46"/>
      <c r="X11" s="46"/>
      <c r="Y11" s="46"/>
      <c r="Z11" s="46"/>
      <c r="AA11" s="46"/>
      <c r="AB11" s="46"/>
      <c r="AC11" s="46"/>
      <c r="AD11" s="46"/>
      <c r="AE11" s="47"/>
      <c r="AF11" s="23"/>
      <c r="AG11" s="23"/>
    </row>
    <row r="12" spans="1:33" x14ac:dyDescent="0.25">
      <c r="A12" s="32">
        <v>9</v>
      </c>
      <c r="B12" s="39"/>
      <c r="C12" s="39"/>
      <c r="D12" s="39"/>
      <c r="E12" s="39"/>
      <c r="F12" s="39"/>
      <c r="G12" s="39"/>
      <c r="H12" s="39"/>
      <c r="I12" s="40"/>
      <c r="J12" s="71"/>
      <c r="K12" s="23"/>
      <c r="L12" s="45"/>
      <c r="M12" s="52" t="s">
        <v>45</v>
      </c>
      <c r="N12" s="46"/>
      <c r="O12" s="46"/>
      <c r="P12" s="258" t="str">
        <f>INDEX(H:H,MATCH(REPT("z",255),H:H))</f>
        <v>402.498.3127</v>
      </c>
      <c r="Q12" s="50"/>
      <c r="R12" s="50"/>
      <c r="S12" s="50"/>
      <c r="T12" s="50"/>
      <c r="U12" s="51"/>
      <c r="V12" s="46"/>
      <c r="W12" s="60" t="s">
        <v>99</v>
      </c>
      <c r="X12" s="46"/>
      <c r="Y12" s="258" t="str">
        <f>INDEX(I:I,MATCH(REPT("z",255),I:I))</f>
        <v>Plan C</v>
      </c>
      <c r="Z12" s="50"/>
      <c r="AA12" s="50"/>
      <c r="AB12" s="50"/>
      <c r="AC12" s="50"/>
      <c r="AD12" s="51"/>
      <c r="AE12" s="47"/>
      <c r="AF12" s="23"/>
      <c r="AG12" s="23"/>
    </row>
    <row r="13" spans="1:33" x14ac:dyDescent="0.25">
      <c r="A13" s="32">
        <v>10</v>
      </c>
      <c r="B13" s="39"/>
      <c r="C13" s="39"/>
      <c r="D13" s="39"/>
      <c r="E13" s="39"/>
      <c r="F13" s="39"/>
      <c r="G13" s="39"/>
      <c r="H13" s="39"/>
      <c r="I13" s="40"/>
      <c r="J13" s="71"/>
      <c r="K13" s="23"/>
      <c r="L13" s="45"/>
      <c r="M13" s="46"/>
      <c r="N13" s="46"/>
      <c r="O13" s="46"/>
      <c r="P13" s="46"/>
      <c r="Q13" s="46"/>
      <c r="R13" s="46"/>
      <c r="S13" s="46"/>
      <c r="T13" s="46"/>
      <c r="U13" s="46"/>
      <c r="V13" s="46"/>
      <c r="W13" s="46"/>
      <c r="X13" s="46"/>
      <c r="Y13" s="46"/>
      <c r="Z13" s="46"/>
      <c r="AA13" s="46"/>
      <c r="AB13" s="46"/>
      <c r="AC13" s="46"/>
      <c r="AD13" s="46"/>
      <c r="AE13" s="47"/>
      <c r="AF13" s="23"/>
      <c r="AG13" s="23"/>
    </row>
    <row r="14" spans="1:33" x14ac:dyDescent="0.25">
      <c r="A14" s="32">
        <v>11</v>
      </c>
      <c r="B14" s="39"/>
      <c r="C14" s="39"/>
      <c r="D14" s="39"/>
      <c r="E14" s="39"/>
      <c r="F14" s="39"/>
      <c r="G14" s="39"/>
      <c r="H14" s="39"/>
      <c r="I14" s="40"/>
      <c r="J14" s="71"/>
      <c r="K14" s="23"/>
      <c r="L14" s="45"/>
      <c r="M14" s="52" t="s">
        <v>90</v>
      </c>
      <c r="N14" s="46"/>
      <c r="O14" s="46"/>
      <c r="P14" s="46"/>
      <c r="Q14" s="46"/>
      <c r="R14" s="46"/>
      <c r="S14" s="46"/>
      <c r="T14" s="46"/>
      <c r="U14" s="46"/>
      <c r="V14" s="46"/>
      <c r="W14" s="46"/>
      <c r="X14" s="46"/>
      <c r="Y14" s="398">
        <f>INDEX(J:J,MATCH(9.99999999999999E+307,J:J))</f>
        <v>300000</v>
      </c>
      <c r="Z14" s="398"/>
      <c r="AA14" s="398"/>
      <c r="AB14" s="50"/>
      <c r="AC14" s="50"/>
      <c r="AD14" s="51"/>
      <c r="AE14" s="47"/>
      <c r="AF14" s="23"/>
      <c r="AG14" s="23"/>
    </row>
    <row r="15" spans="1:33" x14ac:dyDescent="0.25">
      <c r="A15" s="32">
        <v>12</v>
      </c>
      <c r="B15" s="39"/>
      <c r="C15" s="39"/>
      <c r="D15" s="39"/>
      <c r="E15" s="39"/>
      <c r="F15" s="39"/>
      <c r="G15" s="39"/>
      <c r="H15" s="39"/>
      <c r="I15" s="40"/>
      <c r="J15" s="71"/>
      <c r="K15" s="23"/>
      <c r="L15" s="45"/>
      <c r="M15" s="46"/>
      <c r="N15" s="46"/>
      <c r="O15" s="46"/>
      <c r="P15" s="46"/>
      <c r="Q15" s="46"/>
      <c r="R15" s="46"/>
      <c r="S15" s="46"/>
      <c r="T15" s="46"/>
      <c r="U15" s="46"/>
      <c r="V15" s="46"/>
      <c r="W15" s="46"/>
      <c r="X15" s="46"/>
      <c r="Y15" s="46"/>
      <c r="Z15" s="46"/>
      <c r="AA15" s="46"/>
      <c r="AB15" s="46"/>
      <c r="AC15" s="46"/>
      <c r="AD15" s="46"/>
      <c r="AE15" s="47"/>
      <c r="AF15" s="23"/>
      <c r="AG15" s="23"/>
    </row>
    <row r="16" spans="1:33" x14ac:dyDescent="0.25">
      <c r="A16" s="32">
        <v>13</v>
      </c>
      <c r="B16" s="39"/>
      <c r="C16" s="39"/>
      <c r="D16" s="39"/>
      <c r="E16" s="39"/>
      <c r="F16" s="39"/>
      <c r="G16" s="39"/>
      <c r="H16" s="39"/>
      <c r="I16" s="40"/>
      <c r="J16" s="71"/>
      <c r="K16" s="23"/>
      <c r="L16" s="303" t="s">
        <v>91</v>
      </c>
      <c r="M16" s="304"/>
      <c r="N16" s="304"/>
      <c r="O16" s="304"/>
      <c r="P16" s="304"/>
      <c r="Q16" s="304"/>
      <c r="R16" s="304"/>
      <c r="S16" s="304"/>
      <c r="T16" s="304"/>
      <c r="U16" s="304"/>
      <c r="V16" s="304"/>
      <c r="W16" s="304"/>
      <c r="X16" s="304"/>
      <c r="Y16" s="304"/>
      <c r="Z16" s="304"/>
      <c r="AA16" s="304"/>
      <c r="AB16" s="304"/>
      <c r="AC16" s="304"/>
      <c r="AD16" s="304"/>
      <c r="AE16" s="305"/>
      <c r="AF16" s="23"/>
      <c r="AG16" s="23"/>
    </row>
    <row r="17" spans="1:33" ht="16.5" thickBot="1" x14ac:dyDescent="0.3">
      <c r="A17" s="32">
        <v>14</v>
      </c>
      <c r="B17" s="39"/>
      <c r="C17" s="39"/>
      <c r="D17" s="39"/>
      <c r="E17" s="39"/>
      <c r="F17" s="39"/>
      <c r="G17" s="39"/>
      <c r="H17" s="39"/>
      <c r="I17" s="40"/>
      <c r="J17" s="71"/>
      <c r="K17" s="23"/>
      <c r="L17" s="61"/>
      <c r="M17" s="62"/>
      <c r="N17" s="62"/>
      <c r="O17" s="62"/>
      <c r="P17" s="62"/>
      <c r="Q17" s="62"/>
      <c r="R17" s="62"/>
      <c r="S17" s="62"/>
      <c r="T17" s="62"/>
      <c r="U17" s="62"/>
      <c r="V17" s="62"/>
      <c r="W17" s="62"/>
      <c r="X17" s="62"/>
      <c r="Y17" s="62"/>
      <c r="Z17" s="62"/>
      <c r="AA17" s="62"/>
      <c r="AB17" s="62"/>
      <c r="AC17" s="62"/>
      <c r="AD17" s="62"/>
      <c r="AE17" s="63"/>
      <c r="AF17" s="23"/>
      <c r="AG17" s="23"/>
    </row>
    <row r="18" spans="1:33" x14ac:dyDescent="0.25">
      <c r="A18" s="32">
        <v>15</v>
      </c>
      <c r="B18" s="39"/>
      <c r="C18" s="39"/>
      <c r="D18" s="39"/>
      <c r="E18" s="39"/>
      <c r="F18" s="39"/>
      <c r="G18" s="39"/>
      <c r="H18" s="39"/>
      <c r="I18" s="40"/>
      <c r="J18" s="71"/>
      <c r="K18" s="23"/>
      <c r="L18" s="23"/>
      <c r="M18" s="23"/>
      <c r="N18" s="23"/>
      <c r="O18" s="23"/>
      <c r="P18" s="23"/>
      <c r="Q18" s="23"/>
      <c r="R18" s="23"/>
      <c r="S18" s="23"/>
      <c r="T18" s="23"/>
      <c r="U18" s="23"/>
      <c r="V18" s="23"/>
      <c r="W18" s="23"/>
      <c r="X18" s="23"/>
      <c r="Y18" s="23"/>
      <c r="Z18" s="23"/>
      <c r="AA18" s="23"/>
      <c r="AB18" s="23"/>
      <c r="AC18" s="23"/>
      <c r="AD18" s="23"/>
      <c r="AE18" s="23"/>
      <c r="AF18" s="23"/>
      <c r="AG18" s="23"/>
    </row>
    <row r="19" spans="1:33" x14ac:dyDescent="0.25">
      <c r="A19" s="32">
        <v>16</v>
      </c>
      <c r="B19" s="39"/>
      <c r="C19" s="39"/>
      <c r="D19" s="39"/>
      <c r="E19" s="39"/>
      <c r="F19" s="39"/>
      <c r="G19" s="39"/>
      <c r="H19" s="39"/>
      <c r="I19" s="40"/>
      <c r="J19" s="71"/>
      <c r="K19" s="23"/>
      <c r="L19" s="23"/>
      <c r="M19" s="23"/>
      <c r="N19" s="23"/>
      <c r="O19" s="23"/>
      <c r="P19" s="23"/>
      <c r="Q19" s="23"/>
      <c r="R19" s="23"/>
      <c r="S19" s="23"/>
      <c r="T19" s="23"/>
      <c r="U19" s="23"/>
      <c r="V19" s="23"/>
      <c r="W19" s="23"/>
      <c r="X19" s="23"/>
      <c r="Y19" s="23"/>
      <c r="Z19" s="23"/>
      <c r="AA19" s="23"/>
      <c r="AB19" s="23"/>
      <c r="AC19" s="23"/>
      <c r="AD19" s="23"/>
      <c r="AE19" s="23"/>
      <c r="AF19" s="23"/>
      <c r="AG19" s="23"/>
    </row>
    <row r="20" spans="1:33" x14ac:dyDescent="0.25">
      <c r="A20" s="32">
        <v>17</v>
      </c>
      <c r="B20" s="39"/>
      <c r="C20" s="39"/>
      <c r="D20" s="39"/>
      <c r="E20" s="39"/>
      <c r="F20" s="39"/>
      <c r="G20" s="39"/>
      <c r="H20" s="39"/>
      <c r="I20" s="40"/>
      <c r="J20" s="71"/>
      <c r="K20" s="23"/>
      <c r="L20" s="23"/>
      <c r="M20" s="23"/>
      <c r="N20" s="23"/>
      <c r="O20" s="23"/>
      <c r="P20" s="23"/>
      <c r="Q20" s="23"/>
      <c r="R20" s="23"/>
      <c r="S20" s="23"/>
      <c r="T20" s="23"/>
      <c r="U20" s="23"/>
      <c r="V20" s="23"/>
      <c r="W20" s="23"/>
      <c r="X20" s="23"/>
      <c r="Y20" s="23"/>
      <c r="Z20" s="23"/>
      <c r="AA20" s="23"/>
      <c r="AB20" s="23"/>
      <c r="AC20" s="23"/>
      <c r="AD20" s="23"/>
      <c r="AE20" s="23"/>
      <c r="AF20" s="23"/>
      <c r="AG20" s="23"/>
    </row>
    <row r="21" spans="1:33" x14ac:dyDescent="0.25">
      <c r="A21" s="32">
        <v>18</v>
      </c>
      <c r="B21" s="39"/>
      <c r="C21" s="39"/>
      <c r="D21" s="39"/>
      <c r="E21" s="39"/>
      <c r="F21" s="39"/>
      <c r="G21" s="39"/>
      <c r="H21" s="39"/>
      <c r="I21" s="40"/>
      <c r="J21" s="71"/>
      <c r="K21" s="23"/>
      <c r="L21" s="23"/>
      <c r="M21" s="23"/>
      <c r="N21" s="23"/>
      <c r="O21" s="23"/>
      <c r="P21" s="23"/>
      <c r="Q21" s="23"/>
      <c r="R21" s="23"/>
      <c r="S21" s="23"/>
      <c r="T21" s="23"/>
      <c r="U21" s="23"/>
      <c r="V21" s="23"/>
      <c r="W21" s="23"/>
      <c r="X21" s="23"/>
      <c r="Y21" s="23"/>
      <c r="Z21" s="23"/>
      <c r="AA21" s="23"/>
      <c r="AB21" s="23"/>
      <c r="AC21" s="23"/>
      <c r="AD21" s="23"/>
      <c r="AE21" s="23"/>
      <c r="AF21" s="23"/>
      <c r="AG21" s="23"/>
    </row>
    <row r="22" spans="1:33" x14ac:dyDescent="0.25">
      <c r="A22" s="32">
        <v>19</v>
      </c>
      <c r="B22" s="39"/>
      <c r="C22" s="39"/>
      <c r="D22" s="39"/>
      <c r="E22" s="39"/>
      <c r="F22" s="39"/>
      <c r="G22" s="39"/>
      <c r="H22" s="39"/>
      <c r="I22" s="40"/>
      <c r="J22" s="71"/>
      <c r="K22" s="23"/>
      <c r="L22" s="23"/>
      <c r="M22" s="23"/>
      <c r="N22" s="23"/>
      <c r="O22" s="23"/>
      <c r="P22" s="23"/>
      <c r="Q22" s="23"/>
      <c r="R22" s="23"/>
      <c r="S22" s="23"/>
      <c r="T22" s="23"/>
      <c r="U22" s="23"/>
      <c r="V22" s="23"/>
      <c r="W22" s="23"/>
      <c r="X22" s="23"/>
      <c r="Y22" s="23"/>
      <c r="Z22" s="23"/>
      <c r="AA22" s="23"/>
      <c r="AB22" s="23"/>
      <c r="AC22" s="23"/>
      <c r="AD22" s="23"/>
      <c r="AE22" s="23"/>
      <c r="AF22" s="23"/>
      <c r="AG22" s="23"/>
    </row>
    <row r="23" spans="1:33" x14ac:dyDescent="0.25">
      <c r="A23" s="32">
        <v>20</v>
      </c>
      <c r="B23" s="39"/>
      <c r="C23" s="39"/>
      <c r="D23" s="39"/>
      <c r="E23" s="39"/>
      <c r="F23" s="39"/>
      <c r="G23" s="39"/>
      <c r="H23" s="39"/>
      <c r="I23" s="40"/>
      <c r="J23" s="71"/>
      <c r="K23" s="23"/>
      <c r="L23" s="23"/>
      <c r="M23" s="23"/>
      <c r="N23" s="23"/>
      <c r="O23" s="23"/>
      <c r="P23" s="23"/>
      <c r="Q23" s="23"/>
      <c r="R23" s="23"/>
      <c r="S23" s="23"/>
      <c r="T23" s="23"/>
      <c r="U23" s="23"/>
      <c r="V23" s="23"/>
      <c r="W23" s="23"/>
      <c r="X23" s="23"/>
      <c r="Y23" s="23"/>
      <c r="Z23" s="23"/>
      <c r="AA23" s="23"/>
      <c r="AB23" s="23"/>
      <c r="AC23" s="23"/>
      <c r="AD23" s="23"/>
      <c r="AE23" s="23"/>
      <c r="AF23" s="23"/>
      <c r="AG23" s="23"/>
    </row>
    <row r="24" spans="1:33" x14ac:dyDescent="0.25">
      <c r="A24" s="32">
        <v>21</v>
      </c>
      <c r="B24" s="39"/>
      <c r="C24" s="39"/>
      <c r="D24" s="39"/>
      <c r="E24" s="39"/>
      <c r="F24" s="39"/>
      <c r="G24" s="39"/>
      <c r="H24" s="39"/>
      <c r="I24" s="40"/>
      <c r="J24" s="71"/>
      <c r="K24" s="23"/>
      <c r="L24" s="23"/>
      <c r="M24" s="23"/>
      <c r="N24" s="23"/>
      <c r="O24" s="23"/>
      <c r="P24" s="23"/>
      <c r="Q24" s="23"/>
      <c r="R24" s="23"/>
      <c r="S24" s="23"/>
      <c r="T24" s="23"/>
      <c r="U24" s="23"/>
      <c r="V24" s="23"/>
      <c r="W24" s="23"/>
      <c r="X24" s="23"/>
      <c r="Y24" s="23"/>
      <c r="Z24" s="23"/>
      <c r="AA24" s="23"/>
      <c r="AB24" s="23"/>
      <c r="AC24" s="23"/>
      <c r="AD24" s="23"/>
      <c r="AE24" s="23"/>
      <c r="AF24" s="23"/>
      <c r="AG24" s="23"/>
    </row>
    <row r="25" spans="1:33" x14ac:dyDescent="0.25">
      <c r="A25" s="32">
        <v>22</v>
      </c>
      <c r="B25" s="39"/>
      <c r="C25" s="39"/>
      <c r="D25" s="39"/>
      <c r="E25" s="39"/>
      <c r="F25" s="39"/>
      <c r="G25" s="39"/>
      <c r="H25" s="39"/>
      <c r="I25" s="40"/>
      <c r="J25" s="71"/>
      <c r="K25" s="23"/>
      <c r="L25" s="23"/>
      <c r="M25" s="23"/>
      <c r="N25" s="23"/>
      <c r="O25" s="23"/>
      <c r="P25" s="23"/>
      <c r="Q25" s="23"/>
      <c r="R25" s="23"/>
      <c r="S25" s="23"/>
      <c r="T25" s="23"/>
      <c r="U25" s="23"/>
      <c r="V25" s="23"/>
      <c r="W25" s="23"/>
      <c r="X25" s="23"/>
      <c r="Y25" s="23"/>
      <c r="Z25" s="23"/>
      <c r="AA25" s="23"/>
      <c r="AB25" s="23"/>
      <c r="AC25" s="23"/>
      <c r="AD25" s="23"/>
      <c r="AE25" s="23"/>
      <c r="AF25" s="23"/>
      <c r="AG25" s="23"/>
    </row>
    <row r="26" spans="1:33" x14ac:dyDescent="0.25">
      <c r="A26" s="32">
        <v>23</v>
      </c>
      <c r="B26" s="39"/>
      <c r="C26" s="39"/>
      <c r="D26" s="39"/>
      <c r="E26" s="39"/>
      <c r="F26" s="39"/>
      <c r="G26" s="39"/>
      <c r="H26" s="39"/>
      <c r="I26" s="40"/>
      <c r="J26" s="71"/>
      <c r="K26" s="23"/>
      <c r="L26" s="23"/>
      <c r="M26" s="23"/>
      <c r="N26" s="23"/>
      <c r="O26" s="23"/>
      <c r="P26" s="23"/>
      <c r="Q26" s="23"/>
      <c r="R26" s="23"/>
      <c r="S26" s="23"/>
      <c r="T26" s="23"/>
      <c r="U26" s="23"/>
      <c r="V26" s="23"/>
      <c r="W26" s="23"/>
      <c r="X26" s="23"/>
      <c r="Y26" s="23"/>
      <c r="Z26" s="23"/>
      <c r="AA26" s="23"/>
      <c r="AB26" s="23"/>
      <c r="AC26" s="23"/>
      <c r="AD26" s="23"/>
      <c r="AE26" s="23"/>
      <c r="AF26" s="23"/>
      <c r="AG26" s="23"/>
    </row>
    <row r="27" spans="1:33" x14ac:dyDescent="0.25">
      <c r="A27" s="32">
        <v>24</v>
      </c>
      <c r="B27" s="39"/>
      <c r="C27" s="39"/>
      <c r="D27" s="39"/>
      <c r="E27" s="39"/>
      <c r="F27" s="39"/>
      <c r="G27" s="39"/>
      <c r="H27" s="39"/>
      <c r="I27" s="40"/>
      <c r="J27" s="71"/>
      <c r="K27" s="23"/>
      <c r="L27" s="23"/>
      <c r="M27" s="23"/>
      <c r="N27" s="23"/>
      <c r="O27" s="23"/>
      <c r="P27" s="23"/>
      <c r="Q27" s="23"/>
      <c r="R27" s="23"/>
      <c r="S27" s="23"/>
      <c r="T27" s="23"/>
      <c r="U27" s="23"/>
      <c r="V27" s="23"/>
      <c r="W27" s="23"/>
      <c r="X27" s="23"/>
      <c r="Y27" s="23"/>
      <c r="Z27" s="23"/>
      <c r="AA27" s="23"/>
      <c r="AB27" s="23"/>
      <c r="AC27" s="23"/>
      <c r="AD27" s="23"/>
      <c r="AE27" s="23"/>
      <c r="AF27" s="23"/>
      <c r="AG27" s="23"/>
    </row>
    <row r="28" spans="1:33" x14ac:dyDescent="0.25">
      <c r="A28" s="32">
        <v>25</v>
      </c>
      <c r="B28" s="39"/>
      <c r="C28" s="39"/>
      <c r="D28" s="39"/>
      <c r="E28" s="39"/>
      <c r="F28" s="39"/>
      <c r="G28" s="39"/>
      <c r="H28" s="39"/>
      <c r="I28" s="40"/>
      <c r="J28" s="71"/>
      <c r="K28" s="23"/>
      <c r="L28" s="23"/>
      <c r="M28" s="23"/>
      <c r="N28" s="23"/>
      <c r="O28" s="23"/>
      <c r="P28" s="23"/>
      <c r="Q28" s="23"/>
      <c r="R28" s="23"/>
      <c r="S28" s="23"/>
      <c r="T28" s="23"/>
      <c r="U28" s="23"/>
      <c r="V28" s="23"/>
      <c r="W28" s="23"/>
      <c r="X28" s="23"/>
      <c r="Y28" s="23"/>
      <c r="Z28" s="23"/>
      <c r="AA28" s="23"/>
      <c r="AB28" s="23"/>
      <c r="AC28" s="23"/>
      <c r="AD28" s="23"/>
      <c r="AE28" s="23"/>
      <c r="AF28" s="23"/>
      <c r="AG28" s="23"/>
    </row>
  </sheetData>
  <mergeCells count="4">
    <mergeCell ref="L4:AE4"/>
    <mergeCell ref="Y10:AA10"/>
    <mergeCell ref="Y14:AA14"/>
    <mergeCell ref="L16:AE16"/>
  </mergeCells>
  <pageMargins left="0.7" right="0.7" top="0.75" bottom="0.75" header="0.3" footer="0.3"/>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dimension ref="A1:AG28"/>
  <sheetViews>
    <sheetView showGridLines="0" workbookViewId="0">
      <selection activeCell="O32" sqref="O32"/>
    </sheetView>
  </sheetViews>
  <sheetFormatPr defaultRowHeight="15.75" x14ac:dyDescent="0.25"/>
  <cols>
    <col min="1" max="1" width="7.875" bestFit="1" customWidth="1"/>
    <col min="2" max="3" width="10" bestFit="1" customWidth="1"/>
    <col min="4" max="4" width="19" bestFit="1" customWidth="1"/>
    <col min="5" max="5" width="8.375" bestFit="1" customWidth="1"/>
    <col min="6" max="6" width="5.375" bestFit="1" customWidth="1"/>
    <col min="7" max="7" width="5.875" bestFit="1" customWidth="1"/>
    <col min="8" max="8" width="11.875" bestFit="1" customWidth="1"/>
    <col min="9" max="9" width="11.875" customWidth="1"/>
    <col min="10" max="10" width="12.125" bestFit="1" customWidth="1"/>
    <col min="11" max="11" width="3.75" customWidth="1"/>
    <col min="12" max="31" width="3.625" customWidth="1"/>
    <col min="32" max="32" width="3" customWidth="1"/>
  </cols>
  <sheetData>
    <row r="1" spans="1:33" x14ac:dyDescent="0.25">
      <c r="A1" s="16"/>
      <c r="B1" s="16"/>
      <c r="C1" s="16"/>
      <c r="D1" s="16"/>
      <c r="E1" s="16"/>
      <c r="F1" s="16"/>
      <c r="G1" s="16"/>
      <c r="H1" s="16"/>
      <c r="I1" s="16"/>
      <c r="J1" s="16"/>
      <c r="K1" s="16"/>
      <c r="L1" s="16"/>
      <c r="M1" s="16"/>
      <c r="N1" s="16"/>
      <c r="O1" s="16"/>
      <c r="P1" s="16"/>
      <c r="Q1" s="16"/>
      <c r="R1" s="16"/>
      <c r="S1" s="17">
        <f t="shared" ref="S1:AB1" si="0">VLOOKUP(MAX($A$3:$A$147),$A$3:$H$147,2)</f>
        <v>0</v>
      </c>
      <c r="T1" s="17">
        <f t="shared" si="0"/>
        <v>0</v>
      </c>
      <c r="U1" s="17">
        <f t="shared" si="0"/>
        <v>0</v>
      </c>
      <c r="V1" s="17">
        <f t="shared" si="0"/>
        <v>0</v>
      </c>
      <c r="W1" s="17">
        <f t="shared" si="0"/>
        <v>0</v>
      </c>
      <c r="X1" s="17">
        <f t="shared" si="0"/>
        <v>0</v>
      </c>
      <c r="Y1" s="17">
        <f t="shared" si="0"/>
        <v>0</v>
      </c>
      <c r="Z1" s="17">
        <f t="shared" si="0"/>
        <v>0</v>
      </c>
      <c r="AA1" s="17">
        <f t="shared" si="0"/>
        <v>0</v>
      </c>
      <c r="AB1" s="17">
        <f t="shared" si="0"/>
        <v>0</v>
      </c>
      <c r="AC1" s="18"/>
      <c r="AD1" s="18"/>
      <c r="AE1" s="18"/>
      <c r="AF1" s="18"/>
      <c r="AG1" s="18"/>
    </row>
    <row r="2" spans="1:33" ht="16.5" thickBot="1" x14ac:dyDescent="0.3">
      <c r="A2" s="73"/>
      <c r="B2" s="20"/>
      <c r="C2" s="20"/>
      <c r="D2" s="20"/>
      <c r="E2" s="20"/>
      <c r="F2" s="20"/>
      <c r="G2" s="20"/>
      <c r="H2" s="20"/>
      <c r="I2" s="22"/>
      <c r="J2" s="20"/>
      <c r="K2" s="23"/>
      <c r="L2" s="23"/>
      <c r="M2" s="23"/>
      <c r="N2" s="23"/>
      <c r="O2" s="23"/>
      <c r="P2" s="23"/>
      <c r="Q2" s="23"/>
      <c r="R2" s="23"/>
      <c r="S2" s="23"/>
      <c r="T2" s="23"/>
      <c r="U2" s="23"/>
      <c r="V2" s="23"/>
      <c r="W2" s="23"/>
      <c r="X2" s="23"/>
      <c r="Y2" s="23"/>
      <c r="Z2" s="23"/>
      <c r="AA2" s="23"/>
      <c r="AB2" s="23"/>
      <c r="AC2" s="23"/>
      <c r="AD2" s="23"/>
      <c r="AE2" s="23"/>
      <c r="AF2" s="23"/>
      <c r="AG2" s="23"/>
    </row>
    <row r="3" spans="1:33" x14ac:dyDescent="0.25">
      <c r="A3" s="68" t="s">
        <v>38</v>
      </c>
      <c r="B3" s="69" t="s">
        <v>39</v>
      </c>
      <c r="C3" s="69" t="s">
        <v>40</v>
      </c>
      <c r="D3" s="69" t="s">
        <v>41</v>
      </c>
      <c r="E3" s="68" t="s">
        <v>42</v>
      </c>
      <c r="F3" s="68" t="s">
        <v>43</v>
      </c>
      <c r="G3" s="68" t="s">
        <v>44</v>
      </c>
      <c r="H3" s="68" t="s">
        <v>45</v>
      </c>
      <c r="I3" s="68" t="s">
        <v>46</v>
      </c>
      <c r="J3" s="68" t="s">
        <v>47</v>
      </c>
      <c r="K3" s="23"/>
      <c r="L3" s="29"/>
      <c r="M3" s="30"/>
      <c r="N3" s="30"/>
      <c r="O3" s="30"/>
      <c r="P3" s="30"/>
      <c r="Q3" s="30"/>
      <c r="R3" s="30"/>
      <c r="S3" s="30"/>
      <c r="T3" s="30"/>
      <c r="U3" s="30"/>
      <c r="V3" s="30"/>
      <c r="W3" s="30"/>
      <c r="X3" s="30"/>
      <c r="Y3" s="30"/>
      <c r="Z3" s="30"/>
      <c r="AA3" s="30"/>
      <c r="AB3" s="30"/>
      <c r="AC3" s="30"/>
      <c r="AD3" s="30"/>
      <c r="AE3" s="31"/>
      <c r="AF3" s="23"/>
      <c r="AG3" s="23"/>
    </row>
    <row r="4" spans="1:33" x14ac:dyDescent="0.25">
      <c r="A4" s="32">
        <v>1</v>
      </c>
      <c r="B4" s="33" t="s">
        <v>48</v>
      </c>
      <c r="C4" s="34" t="s">
        <v>49</v>
      </c>
      <c r="D4" s="34" t="s">
        <v>50</v>
      </c>
      <c r="E4" s="34" t="s">
        <v>51</v>
      </c>
      <c r="F4" s="35" t="s">
        <v>52</v>
      </c>
      <c r="G4" s="35">
        <v>30062</v>
      </c>
      <c r="H4" s="33" t="s">
        <v>53</v>
      </c>
      <c r="I4" s="37" t="s">
        <v>54</v>
      </c>
      <c r="J4" s="70">
        <v>157665</v>
      </c>
      <c r="K4" s="23"/>
      <c r="L4" s="300" t="s">
        <v>55</v>
      </c>
      <c r="M4" s="301"/>
      <c r="N4" s="301"/>
      <c r="O4" s="301"/>
      <c r="P4" s="301"/>
      <c r="Q4" s="301"/>
      <c r="R4" s="301"/>
      <c r="S4" s="301"/>
      <c r="T4" s="301"/>
      <c r="U4" s="301"/>
      <c r="V4" s="301"/>
      <c r="W4" s="301"/>
      <c r="X4" s="301"/>
      <c r="Y4" s="301"/>
      <c r="Z4" s="301"/>
      <c r="AA4" s="301"/>
      <c r="AB4" s="301"/>
      <c r="AC4" s="301"/>
      <c r="AD4" s="301"/>
      <c r="AE4" s="302"/>
      <c r="AF4" s="23"/>
      <c r="AG4" s="23"/>
    </row>
    <row r="5" spans="1:33" x14ac:dyDescent="0.25">
      <c r="A5" s="32">
        <v>2</v>
      </c>
      <c r="B5" s="39" t="s">
        <v>56</v>
      </c>
      <c r="C5" s="39" t="s">
        <v>57</v>
      </c>
      <c r="D5" s="39" t="s">
        <v>58</v>
      </c>
      <c r="E5" s="39" t="s">
        <v>51</v>
      </c>
      <c r="F5" s="40" t="s">
        <v>52</v>
      </c>
      <c r="G5" s="40">
        <v>30063</v>
      </c>
      <c r="H5" s="42" t="s">
        <v>59</v>
      </c>
      <c r="I5" s="43" t="s">
        <v>60</v>
      </c>
      <c r="J5" s="71">
        <v>156340</v>
      </c>
      <c r="K5" s="23"/>
      <c r="L5" s="45"/>
      <c r="M5" s="46"/>
      <c r="N5" s="46"/>
      <c r="O5" s="46"/>
      <c r="P5" s="46"/>
      <c r="Q5" s="46"/>
      <c r="R5" s="46"/>
      <c r="S5" s="46"/>
      <c r="T5" s="46"/>
      <c r="U5" s="46"/>
      <c r="V5" s="46"/>
      <c r="W5" s="46"/>
      <c r="X5" s="46"/>
      <c r="Y5" s="46"/>
      <c r="Z5" s="46"/>
      <c r="AA5" s="46"/>
      <c r="AB5" s="46"/>
      <c r="AC5" s="46"/>
      <c r="AD5" s="46"/>
      <c r="AE5" s="47"/>
      <c r="AF5" s="23"/>
      <c r="AG5" s="23"/>
    </row>
    <row r="6" spans="1:33" x14ac:dyDescent="0.25">
      <c r="A6" s="32">
        <v>3</v>
      </c>
      <c r="B6" s="39" t="s">
        <v>61</v>
      </c>
      <c r="C6" s="42" t="s">
        <v>62</v>
      </c>
      <c r="D6" s="39" t="s">
        <v>63</v>
      </c>
      <c r="E6" s="39" t="s">
        <v>51</v>
      </c>
      <c r="F6" s="40" t="s">
        <v>52</v>
      </c>
      <c r="G6" s="40">
        <v>30064</v>
      </c>
      <c r="H6" s="42" t="s">
        <v>64</v>
      </c>
      <c r="I6" s="43" t="s">
        <v>65</v>
      </c>
      <c r="J6" s="71">
        <v>81480</v>
      </c>
      <c r="K6" s="23"/>
      <c r="L6" s="45"/>
      <c r="M6" s="48" t="s">
        <v>39</v>
      </c>
      <c r="N6" s="46"/>
      <c r="O6" s="46"/>
      <c r="P6" s="49" t="str">
        <f>INDEX($B$4:$J$100000,(COUNTA($B$4:$B$100000)),MATCH(M6,$B$3:$J$3,0))</f>
        <v>Collins</v>
      </c>
      <c r="Q6" s="50"/>
      <c r="R6" s="50"/>
      <c r="S6" s="50"/>
      <c r="T6" s="50"/>
      <c r="U6" s="51"/>
      <c r="V6" s="46"/>
      <c r="W6" s="52" t="s">
        <v>42</v>
      </c>
      <c r="X6" s="46"/>
      <c r="Y6" s="49" t="str">
        <f>INDEX($B$4:$J$100000,(COUNTA($B$4:$B$100000)),MATCH(W6,$B$3:$J$3,0))</f>
        <v>Norcross</v>
      </c>
      <c r="Z6" s="50"/>
      <c r="AA6" s="50"/>
      <c r="AB6" s="50"/>
      <c r="AC6" s="50"/>
      <c r="AD6" s="51"/>
      <c r="AE6" s="47"/>
      <c r="AF6" s="23"/>
      <c r="AG6" s="23"/>
    </row>
    <row r="7" spans="1:33" x14ac:dyDescent="0.25">
      <c r="A7" s="32">
        <v>4</v>
      </c>
      <c r="B7" s="39" t="s">
        <v>66</v>
      </c>
      <c r="C7" s="42" t="s">
        <v>67</v>
      </c>
      <c r="D7" s="39" t="s">
        <v>68</v>
      </c>
      <c r="E7" s="39" t="s">
        <v>51</v>
      </c>
      <c r="F7" s="40" t="s">
        <v>52</v>
      </c>
      <c r="G7" s="40">
        <v>30065</v>
      </c>
      <c r="H7" s="42" t="s">
        <v>69</v>
      </c>
      <c r="I7" s="43" t="s">
        <v>54</v>
      </c>
      <c r="J7" s="71">
        <v>202578</v>
      </c>
      <c r="K7" s="23"/>
      <c r="L7" s="45"/>
      <c r="M7" s="46"/>
      <c r="N7" s="46"/>
      <c r="O7" s="46"/>
      <c r="P7" s="46"/>
      <c r="Q7" s="46"/>
      <c r="R7" s="46"/>
      <c r="S7" s="46"/>
      <c r="T7" s="46"/>
      <c r="U7" s="46"/>
      <c r="V7" s="46"/>
      <c r="W7" s="46"/>
      <c r="X7" s="46"/>
      <c r="Y7" s="46"/>
      <c r="Z7" s="46"/>
      <c r="AA7" s="46"/>
      <c r="AB7" s="46"/>
      <c r="AC7" s="46"/>
      <c r="AD7" s="46"/>
      <c r="AE7" s="47"/>
      <c r="AF7" s="23"/>
      <c r="AG7" s="23"/>
    </row>
    <row r="8" spans="1:33" x14ac:dyDescent="0.25">
      <c r="A8" s="32">
        <v>5</v>
      </c>
      <c r="B8" s="42" t="s">
        <v>70</v>
      </c>
      <c r="C8" s="39" t="s">
        <v>71</v>
      </c>
      <c r="D8" s="39" t="s">
        <v>72</v>
      </c>
      <c r="E8" s="39" t="s">
        <v>51</v>
      </c>
      <c r="F8" s="40" t="s">
        <v>52</v>
      </c>
      <c r="G8" s="40">
        <v>30066</v>
      </c>
      <c r="H8" s="42" t="s">
        <v>73</v>
      </c>
      <c r="I8" s="43" t="s">
        <v>60</v>
      </c>
      <c r="J8" s="71">
        <v>177209</v>
      </c>
      <c r="K8" s="23"/>
      <c r="L8" s="45"/>
      <c r="M8" s="48" t="s">
        <v>40</v>
      </c>
      <c r="N8" s="46"/>
      <c r="O8" s="46"/>
      <c r="P8" s="49" t="str">
        <f>INDEX($B$4:$J$100000,(COUNTA($B$4:$B$100000)),MATCH(M8,$B$3:$J$3,0))</f>
        <v>Carlton</v>
      </c>
      <c r="Q8" s="50"/>
      <c r="R8" s="50"/>
      <c r="S8" s="50"/>
      <c r="T8" s="50"/>
      <c r="U8" s="51"/>
      <c r="V8" s="46"/>
      <c r="W8" s="52" t="s">
        <v>43</v>
      </c>
      <c r="X8" s="46"/>
      <c r="Y8" s="49" t="str">
        <f>INDEX($B$4:$J$100000,(COUNTA($B$4:$B$100000)),MATCH(W8,$B$3:$J$3,0))</f>
        <v xml:space="preserve">GA </v>
      </c>
      <c r="Z8" s="50"/>
      <c r="AA8" s="50"/>
      <c r="AB8" s="50"/>
      <c r="AC8" s="50"/>
      <c r="AD8" s="51"/>
      <c r="AE8" s="47"/>
      <c r="AF8" s="23"/>
      <c r="AG8" s="23"/>
    </row>
    <row r="9" spans="1:33" x14ac:dyDescent="0.25">
      <c r="A9" s="32">
        <v>6</v>
      </c>
      <c r="B9" s="39" t="s">
        <v>74</v>
      </c>
      <c r="C9" s="39" t="s">
        <v>75</v>
      </c>
      <c r="D9" s="39" t="s">
        <v>76</v>
      </c>
      <c r="E9" s="39" t="s">
        <v>77</v>
      </c>
      <c r="F9" s="40" t="s">
        <v>52</v>
      </c>
      <c r="G9" s="40">
        <v>30092</v>
      </c>
      <c r="H9" s="42" t="s">
        <v>78</v>
      </c>
      <c r="I9" s="43" t="s">
        <v>65</v>
      </c>
      <c r="J9" s="71">
        <v>212254.23</v>
      </c>
      <c r="K9" s="23"/>
      <c r="L9" s="45"/>
      <c r="M9" s="46"/>
      <c r="N9" s="46"/>
      <c r="O9" s="46"/>
      <c r="P9" s="46"/>
      <c r="Q9" s="46"/>
      <c r="R9" s="46"/>
      <c r="S9" s="46"/>
      <c r="T9" s="46"/>
      <c r="U9" s="46"/>
      <c r="V9" s="46"/>
      <c r="W9" s="46"/>
      <c r="X9" s="46"/>
      <c r="Y9" s="46"/>
      <c r="Z9" s="46"/>
      <c r="AA9" s="46"/>
      <c r="AB9" s="46"/>
      <c r="AC9" s="46"/>
      <c r="AD9" s="46"/>
      <c r="AE9" s="47"/>
      <c r="AF9" s="23"/>
      <c r="AG9" s="23"/>
    </row>
    <row r="10" spans="1:33" x14ac:dyDescent="0.25">
      <c r="A10" s="32">
        <v>7</v>
      </c>
      <c r="B10" s="39" t="s">
        <v>79</v>
      </c>
      <c r="C10" s="39" t="s">
        <v>80</v>
      </c>
      <c r="D10" s="39" t="s">
        <v>50</v>
      </c>
      <c r="E10" s="39" t="s">
        <v>81</v>
      </c>
      <c r="F10" s="40" t="s">
        <v>82</v>
      </c>
      <c r="G10" s="40">
        <v>30092</v>
      </c>
      <c r="H10" s="42" t="s">
        <v>53</v>
      </c>
      <c r="I10" s="43" t="s">
        <v>54</v>
      </c>
      <c r="J10" s="71">
        <v>124533.45</v>
      </c>
      <c r="K10" s="23"/>
      <c r="L10" s="45"/>
      <c r="M10" s="48" t="s">
        <v>41</v>
      </c>
      <c r="N10" s="46"/>
      <c r="O10" s="46"/>
      <c r="P10" s="49" t="str">
        <f>INDEX($B$4:$J$100000,(COUNTA($B$4:$B$100000)),MATCH(M10,$B$3:$J$3,0))</f>
        <v>100 Peachtree Street</v>
      </c>
      <c r="Q10" s="50"/>
      <c r="R10" s="50"/>
      <c r="S10" s="50"/>
      <c r="T10" s="50"/>
      <c r="U10" s="51"/>
      <c r="V10" s="46"/>
      <c r="W10" s="52" t="s">
        <v>44</v>
      </c>
      <c r="X10" s="46"/>
      <c r="Y10" s="399">
        <f>INDEX($B$4:$J$100000,(COUNTA($B$4:$B$100000)),MATCH(W10,$B$3:$J$3,0))</f>
        <v>30092</v>
      </c>
      <c r="Z10" s="400"/>
      <c r="AA10" s="400"/>
      <c r="AB10" s="400"/>
      <c r="AC10" s="400"/>
      <c r="AD10" s="401"/>
      <c r="AE10" s="47"/>
      <c r="AF10" s="23"/>
      <c r="AG10" s="23"/>
    </row>
    <row r="11" spans="1:33" x14ac:dyDescent="0.25">
      <c r="A11" s="32">
        <v>8</v>
      </c>
      <c r="B11" s="39"/>
      <c r="C11" s="39"/>
      <c r="D11" s="39"/>
      <c r="E11" s="39"/>
      <c r="F11" s="39"/>
      <c r="G11" s="39"/>
      <c r="H11" s="39"/>
      <c r="I11" s="40"/>
      <c r="J11" s="39"/>
      <c r="K11" s="23"/>
      <c r="L11" s="45"/>
      <c r="M11" s="46"/>
      <c r="N11" s="46"/>
      <c r="O11" s="46"/>
      <c r="P11" s="46"/>
      <c r="Q11" s="46"/>
      <c r="R11" s="46"/>
      <c r="S11" s="46"/>
      <c r="T11" s="46"/>
      <c r="U11" s="46"/>
      <c r="V11" s="46"/>
      <c r="W11" s="46"/>
      <c r="X11" s="46"/>
      <c r="Y11" s="46"/>
      <c r="Z11" s="46"/>
      <c r="AA11" s="46"/>
      <c r="AB11" s="46"/>
      <c r="AC11" s="46"/>
      <c r="AD11" s="46"/>
      <c r="AE11" s="47"/>
      <c r="AF11" s="23"/>
      <c r="AG11" s="23"/>
    </row>
    <row r="12" spans="1:33" x14ac:dyDescent="0.25">
      <c r="A12" s="32">
        <v>9</v>
      </c>
      <c r="B12" s="39"/>
      <c r="C12" s="39"/>
      <c r="D12" s="39"/>
      <c r="E12" s="39"/>
      <c r="F12" s="39"/>
      <c r="G12" s="39"/>
      <c r="H12" s="39"/>
      <c r="I12" s="40"/>
      <c r="J12" s="39"/>
      <c r="K12" s="23"/>
      <c r="L12" s="45"/>
      <c r="M12" s="52" t="s">
        <v>45</v>
      </c>
      <c r="N12" s="46"/>
      <c r="O12" s="46"/>
      <c r="P12" s="49" t="str">
        <f>INDEX($B$4:$J$100000,(COUNTA($B$4:$B$100000)),MATCH(M12,$B$3:$J$3,0))</f>
        <v>770.842.5902</v>
      </c>
      <c r="Q12" s="50"/>
      <c r="R12" s="50"/>
      <c r="S12" s="50"/>
      <c r="T12" s="50"/>
      <c r="U12" s="51"/>
      <c r="V12" s="46"/>
      <c r="W12" s="60" t="s">
        <v>99</v>
      </c>
      <c r="X12" s="46"/>
      <c r="Y12" s="306" t="str">
        <f>INDEX($B$4:$J$100000,(COUNTA($B$4:$B$100000)),MATCH($I$3,$B$3:$J$3,0))</f>
        <v>Plan A</v>
      </c>
      <c r="Z12" s="314"/>
      <c r="AA12" s="314"/>
      <c r="AB12" s="314"/>
      <c r="AC12" s="314"/>
      <c r="AD12" s="315"/>
      <c r="AE12" s="47"/>
      <c r="AF12" s="23"/>
      <c r="AG12" s="23"/>
    </row>
    <row r="13" spans="1:33" x14ac:dyDescent="0.25">
      <c r="A13" s="32">
        <v>10</v>
      </c>
      <c r="B13" s="39"/>
      <c r="C13" s="39"/>
      <c r="D13" s="39"/>
      <c r="E13" s="39"/>
      <c r="F13" s="39"/>
      <c r="G13" s="39"/>
      <c r="H13" s="39"/>
      <c r="I13" s="40"/>
      <c r="J13" s="39"/>
      <c r="K13" s="23"/>
      <c r="L13" s="45"/>
      <c r="M13" s="46"/>
      <c r="N13" s="46"/>
      <c r="O13" s="46"/>
      <c r="P13" s="46"/>
      <c r="Q13" s="46"/>
      <c r="R13" s="46"/>
      <c r="S13" s="46"/>
      <c r="T13" s="46"/>
      <c r="U13" s="46"/>
      <c r="V13" s="46"/>
      <c r="W13" s="46"/>
      <c r="X13" s="46"/>
      <c r="Y13" s="46"/>
      <c r="Z13" s="46"/>
      <c r="AA13" s="46"/>
      <c r="AB13" s="46"/>
      <c r="AC13" s="46"/>
      <c r="AD13" s="46"/>
      <c r="AE13" s="47"/>
      <c r="AF13" s="23"/>
      <c r="AG13" s="23"/>
    </row>
    <row r="14" spans="1:33" x14ac:dyDescent="0.25">
      <c r="A14" s="32">
        <v>11</v>
      </c>
      <c r="B14" s="39"/>
      <c r="C14" s="39"/>
      <c r="D14" s="39"/>
      <c r="E14" s="39"/>
      <c r="F14" s="39"/>
      <c r="G14" s="39"/>
      <c r="H14" s="39"/>
      <c r="I14" s="40"/>
      <c r="J14" s="39"/>
      <c r="K14" s="23"/>
      <c r="L14" s="45"/>
      <c r="M14" s="52" t="s">
        <v>90</v>
      </c>
      <c r="N14" s="46"/>
      <c r="O14" s="46"/>
      <c r="P14" s="46"/>
      <c r="Q14" s="46"/>
      <c r="R14" s="46"/>
      <c r="S14" s="46"/>
      <c r="T14" s="46"/>
      <c r="U14" s="46"/>
      <c r="V14" s="46"/>
      <c r="W14" s="46"/>
      <c r="X14" s="46"/>
      <c r="Y14" s="402">
        <f>INDEX($B$4:$J$100000,(COUNTA($B$4:$B$100000)),MATCH(J3,$B$3:$J$3,0))</f>
        <v>124533.45</v>
      </c>
      <c r="Z14" s="403"/>
      <c r="AA14" s="403"/>
      <c r="AB14" s="403"/>
      <c r="AC14" s="403"/>
      <c r="AD14" s="404"/>
      <c r="AE14" s="47"/>
      <c r="AF14" s="23"/>
      <c r="AG14" s="23"/>
    </row>
    <row r="15" spans="1:33" x14ac:dyDescent="0.25">
      <c r="A15" s="32">
        <v>12</v>
      </c>
      <c r="B15" s="39"/>
      <c r="C15" s="39"/>
      <c r="D15" s="39"/>
      <c r="E15" s="39"/>
      <c r="F15" s="39"/>
      <c r="G15" s="39"/>
      <c r="H15" s="39"/>
      <c r="I15" s="40"/>
      <c r="J15" s="39"/>
      <c r="K15" s="23"/>
      <c r="L15" s="45"/>
      <c r="M15" s="46"/>
      <c r="N15" s="46"/>
      <c r="O15" s="46"/>
      <c r="P15" s="46"/>
      <c r="Q15" s="46"/>
      <c r="R15" s="46"/>
      <c r="S15" s="46"/>
      <c r="T15" s="46"/>
      <c r="U15" s="46"/>
      <c r="V15" s="46"/>
      <c r="W15" s="46"/>
      <c r="X15" s="46"/>
      <c r="Y15" s="46"/>
      <c r="Z15" s="46"/>
      <c r="AA15" s="46"/>
      <c r="AB15" s="46"/>
      <c r="AC15" s="46"/>
      <c r="AD15" s="46"/>
      <c r="AE15" s="47"/>
      <c r="AF15" s="23"/>
      <c r="AG15" s="23"/>
    </row>
    <row r="16" spans="1:33" x14ac:dyDescent="0.25">
      <c r="A16" s="32">
        <v>13</v>
      </c>
      <c r="B16" s="39"/>
      <c r="C16" s="39"/>
      <c r="D16" s="39"/>
      <c r="E16" s="39"/>
      <c r="F16" s="39"/>
      <c r="G16" s="39"/>
      <c r="H16" s="39"/>
      <c r="I16" s="40"/>
      <c r="J16" s="39"/>
      <c r="K16" s="23"/>
      <c r="L16" s="303" t="s">
        <v>91</v>
      </c>
      <c r="M16" s="304"/>
      <c r="N16" s="304"/>
      <c r="O16" s="304"/>
      <c r="P16" s="304"/>
      <c r="Q16" s="304"/>
      <c r="R16" s="304"/>
      <c r="S16" s="304"/>
      <c r="T16" s="304"/>
      <c r="U16" s="304"/>
      <c r="V16" s="304"/>
      <c r="W16" s="304"/>
      <c r="X16" s="304"/>
      <c r="Y16" s="304"/>
      <c r="Z16" s="304"/>
      <c r="AA16" s="304"/>
      <c r="AB16" s="304"/>
      <c r="AC16" s="304"/>
      <c r="AD16" s="304"/>
      <c r="AE16" s="305"/>
      <c r="AF16" s="23"/>
      <c r="AG16" s="23"/>
    </row>
    <row r="17" spans="1:33" ht="16.5" thickBot="1" x14ac:dyDescent="0.3">
      <c r="A17" s="32">
        <v>14</v>
      </c>
      <c r="B17" s="39"/>
      <c r="C17" s="39"/>
      <c r="D17" s="39"/>
      <c r="E17" s="39"/>
      <c r="F17" s="39"/>
      <c r="G17" s="39"/>
      <c r="H17" s="39"/>
      <c r="I17" s="40"/>
      <c r="J17" s="39"/>
      <c r="K17" s="23"/>
      <c r="L17" s="61"/>
      <c r="M17" s="62"/>
      <c r="N17" s="62"/>
      <c r="O17" s="62"/>
      <c r="P17" s="62"/>
      <c r="Q17" s="62"/>
      <c r="R17" s="62"/>
      <c r="S17" s="62"/>
      <c r="T17" s="62"/>
      <c r="U17" s="62"/>
      <c r="V17" s="62"/>
      <c r="W17" s="62"/>
      <c r="X17" s="62"/>
      <c r="Y17" s="62"/>
      <c r="Z17" s="62"/>
      <c r="AA17" s="62"/>
      <c r="AB17" s="62"/>
      <c r="AC17" s="62"/>
      <c r="AD17" s="62"/>
      <c r="AE17" s="63"/>
      <c r="AF17" s="23"/>
      <c r="AG17" s="23"/>
    </row>
    <row r="18" spans="1:33" x14ac:dyDescent="0.25">
      <c r="A18" s="32">
        <v>15</v>
      </c>
      <c r="B18" s="39"/>
      <c r="C18" s="39"/>
      <c r="D18" s="39"/>
      <c r="E18" s="39"/>
      <c r="F18" s="39"/>
      <c r="G18" s="39"/>
      <c r="H18" s="39"/>
      <c r="I18" s="40"/>
      <c r="J18" s="39"/>
      <c r="K18" s="23"/>
      <c r="L18" s="23"/>
      <c r="M18" s="23"/>
      <c r="N18" s="23"/>
      <c r="O18" s="23"/>
      <c r="P18" s="23"/>
      <c r="Q18" s="23"/>
      <c r="R18" s="23"/>
      <c r="S18" s="23"/>
      <c r="T18" s="23"/>
      <c r="U18" s="23"/>
      <c r="V18" s="23"/>
      <c r="W18" s="23"/>
      <c r="X18" s="23"/>
      <c r="Y18" s="23"/>
      <c r="Z18" s="23"/>
      <c r="AA18" s="23"/>
      <c r="AB18" s="23"/>
      <c r="AC18" s="23"/>
      <c r="AD18" s="23"/>
      <c r="AE18" s="23"/>
      <c r="AF18" s="23"/>
      <c r="AG18" s="23"/>
    </row>
    <row r="19" spans="1:33" x14ac:dyDescent="0.25">
      <c r="A19" s="32">
        <v>16</v>
      </c>
      <c r="B19" s="39"/>
      <c r="C19" s="39"/>
      <c r="D19" s="39"/>
      <c r="E19" s="39"/>
      <c r="F19" s="39"/>
      <c r="G19" s="39"/>
      <c r="H19" s="39"/>
      <c r="I19" s="40"/>
      <c r="J19" s="39"/>
      <c r="K19" s="23"/>
      <c r="L19" s="23"/>
      <c r="M19" s="23"/>
      <c r="N19" s="23"/>
      <c r="O19" s="23"/>
      <c r="P19" s="23"/>
      <c r="Q19" s="23"/>
      <c r="R19" s="23"/>
      <c r="S19" s="23"/>
      <c r="T19" s="23"/>
      <c r="U19" s="23"/>
      <c r="V19" s="23"/>
      <c r="W19" s="23"/>
      <c r="X19" s="23"/>
      <c r="Y19" s="23"/>
      <c r="Z19" s="23"/>
      <c r="AA19" s="23"/>
      <c r="AB19" s="23"/>
      <c r="AC19" s="23"/>
      <c r="AD19" s="23"/>
      <c r="AE19" s="23"/>
      <c r="AF19" s="23"/>
      <c r="AG19" s="23"/>
    </row>
    <row r="20" spans="1:33" x14ac:dyDescent="0.25">
      <c r="A20" s="32">
        <v>17</v>
      </c>
      <c r="B20" s="39"/>
      <c r="C20" s="39"/>
      <c r="D20" s="39"/>
      <c r="E20" s="39"/>
      <c r="F20" s="39"/>
      <c r="G20" s="39"/>
      <c r="H20" s="39"/>
      <c r="I20" s="40"/>
      <c r="J20" s="39"/>
      <c r="K20" s="23"/>
      <c r="L20" s="23"/>
      <c r="M20" s="23"/>
      <c r="N20" s="23"/>
      <c r="O20" s="23"/>
      <c r="P20" s="23"/>
      <c r="Q20" s="23"/>
      <c r="R20" s="23"/>
      <c r="S20" s="23"/>
      <c r="T20" s="23"/>
      <c r="U20" s="23"/>
      <c r="V20" s="23"/>
      <c r="W20" s="23"/>
      <c r="X20" s="23"/>
      <c r="Y20" s="23"/>
      <c r="Z20" s="23"/>
      <c r="AA20" s="23"/>
      <c r="AB20" s="23"/>
      <c r="AC20" s="23"/>
      <c r="AD20" s="23"/>
      <c r="AE20" s="23"/>
      <c r="AF20" s="23"/>
      <c r="AG20" s="23"/>
    </row>
    <row r="21" spans="1:33" x14ac:dyDescent="0.25">
      <c r="A21" s="32">
        <v>18</v>
      </c>
      <c r="B21" s="39"/>
      <c r="C21" s="39"/>
      <c r="D21" s="39"/>
      <c r="E21" s="39"/>
      <c r="F21" s="39"/>
      <c r="G21" s="39"/>
      <c r="H21" s="39"/>
      <c r="I21" s="40"/>
      <c r="J21" s="39"/>
      <c r="K21" s="23"/>
      <c r="L21" s="23"/>
      <c r="M21" s="23"/>
      <c r="N21" s="23"/>
      <c r="O21" s="23"/>
      <c r="P21" s="23"/>
      <c r="Q21" s="23"/>
      <c r="R21" s="23"/>
      <c r="S21" s="23"/>
      <c r="T21" s="23"/>
      <c r="U21" s="23"/>
      <c r="V21" s="23"/>
      <c r="W21" s="23"/>
      <c r="X21" s="23"/>
      <c r="Y21" s="23"/>
      <c r="Z21" s="23"/>
      <c r="AA21" s="23"/>
      <c r="AB21" s="23"/>
      <c r="AC21" s="23"/>
      <c r="AD21" s="23"/>
      <c r="AE21" s="23"/>
      <c r="AF21" s="23"/>
      <c r="AG21" s="23"/>
    </row>
    <row r="22" spans="1:33" x14ac:dyDescent="0.25">
      <c r="A22" s="32">
        <v>19</v>
      </c>
      <c r="B22" s="39"/>
      <c r="C22" s="39"/>
      <c r="D22" s="39"/>
      <c r="E22" s="39"/>
      <c r="F22" s="39"/>
      <c r="G22" s="39"/>
      <c r="H22" s="39"/>
      <c r="I22" s="40"/>
      <c r="J22" s="39"/>
      <c r="K22" s="23"/>
      <c r="L22" s="23"/>
      <c r="M22" s="23"/>
      <c r="N22" s="23"/>
      <c r="O22" s="23"/>
      <c r="P22" s="23"/>
      <c r="Q22" s="23"/>
      <c r="R22" s="23"/>
      <c r="S22" s="23"/>
      <c r="T22" s="23"/>
      <c r="U22" s="23"/>
      <c r="V22" s="23"/>
      <c r="W22" s="23"/>
      <c r="X22" s="23"/>
      <c r="Y22" s="23"/>
      <c r="Z22" s="23"/>
      <c r="AA22" s="23"/>
      <c r="AB22" s="23"/>
      <c r="AC22" s="23"/>
      <c r="AD22" s="23"/>
      <c r="AE22" s="23"/>
      <c r="AF22" s="23"/>
      <c r="AG22" s="23"/>
    </row>
    <row r="23" spans="1:33" x14ac:dyDescent="0.25">
      <c r="A23" s="32">
        <v>20</v>
      </c>
      <c r="B23" s="39"/>
      <c r="C23" s="39"/>
      <c r="D23" s="39"/>
      <c r="E23" s="39"/>
      <c r="F23" s="39"/>
      <c r="G23" s="39"/>
      <c r="H23" s="39"/>
      <c r="I23" s="40"/>
      <c r="J23" s="39"/>
      <c r="K23" s="23"/>
      <c r="L23" s="23"/>
      <c r="M23" s="23"/>
      <c r="N23" s="23"/>
      <c r="O23" s="23"/>
      <c r="P23" s="23"/>
      <c r="Q23" s="23"/>
      <c r="R23" s="23"/>
      <c r="S23" s="23"/>
      <c r="T23" s="23"/>
      <c r="U23" s="23"/>
      <c r="V23" s="23"/>
      <c r="W23" s="23"/>
      <c r="X23" s="23"/>
      <c r="Y23" s="23"/>
      <c r="Z23" s="23"/>
      <c r="AA23" s="23"/>
      <c r="AB23" s="23"/>
      <c r="AC23" s="23"/>
      <c r="AD23" s="23"/>
      <c r="AE23" s="23"/>
      <c r="AF23" s="23"/>
      <c r="AG23" s="23"/>
    </row>
    <row r="24" spans="1:33" x14ac:dyDescent="0.25">
      <c r="A24" s="32">
        <v>21</v>
      </c>
      <c r="B24" s="39"/>
      <c r="C24" s="39"/>
      <c r="D24" s="39"/>
      <c r="E24" s="39"/>
      <c r="F24" s="39"/>
      <c r="G24" s="39"/>
      <c r="H24" s="39"/>
      <c r="I24" s="40"/>
      <c r="J24" s="39"/>
      <c r="K24" s="23"/>
      <c r="L24" s="23"/>
      <c r="M24" s="23"/>
      <c r="N24" s="23"/>
      <c r="O24" s="23"/>
      <c r="P24" s="23"/>
      <c r="Q24" s="23"/>
      <c r="R24" s="23"/>
      <c r="S24" s="23"/>
      <c r="T24" s="23"/>
      <c r="U24" s="23"/>
      <c r="V24" s="23"/>
      <c r="W24" s="23"/>
      <c r="X24" s="23"/>
      <c r="Y24" s="23"/>
      <c r="Z24" s="23"/>
      <c r="AA24" s="23"/>
      <c r="AB24" s="23"/>
      <c r="AC24" s="23"/>
      <c r="AD24" s="23"/>
      <c r="AE24" s="23"/>
      <c r="AF24" s="23"/>
      <c r="AG24" s="23"/>
    </row>
    <row r="25" spans="1:33" x14ac:dyDescent="0.25">
      <c r="A25" s="32">
        <v>22</v>
      </c>
      <c r="B25" s="39"/>
      <c r="C25" s="39"/>
      <c r="D25" s="39"/>
      <c r="E25" s="39"/>
      <c r="F25" s="39"/>
      <c r="G25" s="39"/>
      <c r="H25" s="39"/>
      <c r="I25" s="40"/>
      <c r="J25" s="39"/>
      <c r="K25" s="23"/>
      <c r="L25" s="23"/>
      <c r="M25" s="23"/>
      <c r="N25" s="23"/>
      <c r="O25" s="23"/>
      <c r="P25" s="23"/>
      <c r="Q25" s="23"/>
      <c r="R25" s="23"/>
      <c r="S25" s="23"/>
      <c r="T25" s="23"/>
      <c r="U25" s="23"/>
      <c r="V25" s="23"/>
      <c r="W25" s="23"/>
      <c r="X25" s="23"/>
      <c r="Y25" s="23"/>
      <c r="Z25" s="23"/>
      <c r="AA25" s="23"/>
      <c r="AB25" s="23"/>
      <c r="AC25" s="23"/>
      <c r="AD25" s="23"/>
      <c r="AE25" s="23"/>
      <c r="AF25" s="23"/>
      <c r="AG25" s="23"/>
    </row>
    <row r="26" spans="1:33" x14ac:dyDescent="0.25">
      <c r="A26" s="32">
        <v>23</v>
      </c>
      <c r="B26" s="39"/>
      <c r="C26" s="39"/>
      <c r="D26" s="39"/>
      <c r="E26" s="39"/>
      <c r="F26" s="39"/>
      <c r="G26" s="39"/>
      <c r="H26" s="39"/>
      <c r="I26" s="40"/>
      <c r="J26" s="39"/>
      <c r="K26" s="23"/>
      <c r="L26" s="23"/>
      <c r="M26" s="23"/>
      <c r="N26" s="23"/>
      <c r="O26" s="23"/>
      <c r="P26" s="23"/>
      <c r="Q26" s="23"/>
      <c r="R26" s="23"/>
      <c r="S26" s="23"/>
      <c r="T26" s="23"/>
      <c r="U26" s="23"/>
      <c r="V26" s="23"/>
      <c r="W26" s="23"/>
      <c r="X26" s="23"/>
      <c r="Y26" s="23"/>
      <c r="Z26" s="23"/>
      <c r="AA26" s="23"/>
      <c r="AB26" s="23"/>
      <c r="AC26" s="23"/>
      <c r="AD26" s="23"/>
      <c r="AE26" s="23"/>
      <c r="AF26" s="23"/>
      <c r="AG26" s="23"/>
    </row>
    <row r="27" spans="1:33" x14ac:dyDescent="0.25">
      <c r="A27" s="32">
        <v>24</v>
      </c>
      <c r="B27" s="39"/>
      <c r="C27" s="39"/>
      <c r="D27" s="39"/>
      <c r="E27" s="39"/>
      <c r="F27" s="39"/>
      <c r="G27" s="39"/>
      <c r="H27" s="39"/>
      <c r="I27" s="40"/>
      <c r="J27" s="39"/>
      <c r="K27" s="23"/>
      <c r="L27" s="23"/>
      <c r="M27" s="23"/>
      <c r="N27" s="23"/>
      <c r="O27" s="23"/>
      <c r="P27" s="23"/>
      <c r="Q27" s="23"/>
      <c r="R27" s="23"/>
      <c r="S27" s="23"/>
      <c r="T27" s="23"/>
      <c r="U27" s="23"/>
      <c r="V27" s="23"/>
      <c r="W27" s="23"/>
      <c r="X27" s="23"/>
      <c r="Y27" s="23"/>
      <c r="Z27" s="23"/>
      <c r="AA27" s="23"/>
      <c r="AB27" s="23"/>
      <c r="AC27" s="23"/>
      <c r="AD27" s="23"/>
      <c r="AE27" s="23"/>
      <c r="AF27" s="23"/>
      <c r="AG27" s="23"/>
    </row>
    <row r="28" spans="1:33" x14ac:dyDescent="0.25">
      <c r="A28" s="32">
        <v>25</v>
      </c>
      <c r="B28" s="39"/>
      <c r="C28" s="39"/>
      <c r="D28" s="39"/>
      <c r="E28" s="39"/>
      <c r="F28" s="39"/>
      <c r="G28" s="39"/>
      <c r="H28" s="39"/>
      <c r="I28" s="40"/>
      <c r="J28" s="39"/>
      <c r="K28" s="23"/>
      <c r="L28" s="23"/>
      <c r="M28" s="23"/>
      <c r="N28" s="23"/>
      <c r="O28" s="23"/>
      <c r="P28" s="23"/>
      <c r="Q28" s="23"/>
      <c r="R28" s="23"/>
      <c r="S28" s="23"/>
      <c r="T28" s="23"/>
      <c r="U28" s="23"/>
      <c r="V28" s="23"/>
      <c r="W28" s="23"/>
      <c r="X28" s="23"/>
      <c r="Y28" s="23"/>
      <c r="Z28" s="23"/>
      <c r="AA28" s="23"/>
      <c r="AB28" s="23"/>
      <c r="AC28" s="23"/>
      <c r="AD28" s="23"/>
      <c r="AE28" s="23"/>
      <c r="AF28" s="23"/>
      <c r="AG28" s="23"/>
    </row>
  </sheetData>
  <mergeCells count="5">
    <mergeCell ref="L4:AE4"/>
    <mergeCell ref="Y10:AD10"/>
    <mergeCell ref="Y12:AD12"/>
    <mergeCell ref="Y14:AD14"/>
    <mergeCell ref="L16:AE16"/>
  </mergeCells>
  <pageMargins left="0.7" right="0.7" top="0.75" bottom="0.75" header="0.3" footer="0.3"/>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dimension ref="A1:AG27"/>
  <sheetViews>
    <sheetView showGridLines="0" workbookViewId="0">
      <selection activeCell="Q1" sqref="Q1"/>
    </sheetView>
  </sheetViews>
  <sheetFormatPr defaultRowHeight="15.75" x14ac:dyDescent="0.25"/>
  <cols>
    <col min="1" max="1" width="7.875" bestFit="1" customWidth="1"/>
    <col min="2" max="3" width="10" bestFit="1" customWidth="1"/>
    <col min="4" max="4" width="19" bestFit="1" customWidth="1"/>
    <col min="5" max="5" width="8.375" bestFit="1" customWidth="1"/>
    <col min="6" max="6" width="5.375" bestFit="1" customWidth="1"/>
    <col min="7" max="7" width="5.875" bestFit="1" customWidth="1"/>
    <col min="8" max="8" width="11.875" bestFit="1" customWidth="1"/>
    <col min="9" max="9" width="11.875" customWidth="1"/>
    <col min="10" max="10" width="12.125" bestFit="1" customWidth="1"/>
    <col min="11" max="11" width="3.75" customWidth="1"/>
    <col min="12" max="31" width="3.625" customWidth="1"/>
    <col min="32" max="32" width="3" customWidth="1"/>
  </cols>
  <sheetData>
    <row r="1" spans="1:33" x14ac:dyDescent="0.25">
      <c r="A1" s="16"/>
      <c r="B1" s="16"/>
      <c r="C1" s="16"/>
      <c r="D1" s="16"/>
      <c r="E1" s="16"/>
      <c r="F1" s="16"/>
      <c r="G1" s="16"/>
      <c r="H1" s="16"/>
      <c r="I1" s="16"/>
      <c r="J1" s="16"/>
      <c r="K1" s="16"/>
      <c r="L1" s="16"/>
      <c r="M1" s="16"/>
      <c r="N1" s="16"/>
      <c r="O1" s="16"/>
      <c r="P1" s="16"/>
      <c r="Q1" s="16"/>
      <c r="R1" s="16"/>
      <c r="S1" s="17">
        <f t="shared" ref="S1:AB1" si="0">VLOOKUP(MAX($A$3:$A$147),$A$3:$H$147,2)</f>
        <v>0</v>
      </c>
      <c r="T1" s="17">
        <f t="shared" si="0"/>
        <v>0</v>
      </c>
      <c r="U1" s="17">
        <f t="shared" si="0"/>
        <v>0</v>
      </c>
      <c r="V1" s="17">
        <f t="shared" si="0"/>
        <v>0</v>
      </c>
      <c r="W1" s="17">
        <f t="shared" si="0"/>
        <v>0</v>
      </c>
      <c r="X1" s="17">
        <f t="shared" si="0"/>
        <v>0</v>
      </c>
      <c r="Y1" s="17">
        <f t="shared" si="0"/>
        <v>0</v>
      </c>
      <c r="Z1" s="17">
        <f t="shared" si="0"/>
        <v>0</v>
      </c>
      <c r="AA1" s="17">
        <f t="shared" si="0"/>
        <v>0</v>
      </c>
      <c r="AB1" s="17">
        <f t="shared" si="0"/>
        <v>0</v>
      </c>
      <c r="AC1" s="18"/>
      <c r="AD1" s="18"/>
      <c r="AE1" s="18"/>
      <c r="AF1" s="18"/>
      <c r="AG1" s="18"/>
    </row>
    <row r="2" spans="1:33" ht="16.5" thickBot="1" x14ac:dyDescent="0.3">
      <c r="A2" s="73"/>
      <c r="B2" s="20"/>
      <c r="C2" s="20"/>
      <c r="D2" s="20"/>
      <c r="E2" s="20"/>
      <c r="F2" s="20"/>
      <c r="G2" s="20"/>
      <c r="H2" s="20"/>
      <c r="I2" s="22"/>
      <c r="J2" s="20"/>
      <c r="K2" s="23"/>
      <c r="L2" s="23"/>
      <c r="M2" s="23"/>
      <c r="N2" s="23"/>
      <c r="O2" s="23"/>
      <c r="P2" s="23"/>
      <c r="Q2" s="23"/>
      <c r="R2" s="23"/>
      <c r="S2" s="23"/>
      <c r="T2" s="23"/>
      <c r="U2" s="23"/>
      <c r="V2" s="23"/>
      <c r="W2" s="23"/>
      <c r="X2" s="23"/>
      <c r="Y2" s="23"/>
      <c r="Z2" s="23"/>
      <c r="AA2" s="23"/>
      <c r="AB2" s="23"/>
      <c r="AC2" s="23"/>
      <c r="AD2" s="23"/>
      <c r="AE2" s="23"/>
      <c r="AF2" s="23"/>
      <c r="AG2" s="23"/>
    </row>
    <row r="3" spans="1:33" x14ac:dyDescent="0.25">
      <c r="A3" s="68" t="s">
        <v>38</v>
      </c>
      <c r="B3" s="69" t="s">
        <v>39</v>
      </c>
      <c r="C3" s="69" t="s">
        <v>40</v>
      </c>
      <c r="D3" s="69" t="s">
        <v>41</v>
      </c>
      <c r="E3" s="68" t="s">
        <v>42</v>
      </c>
      <c r="F3" s="68" t="s">
        <v>43</v>
      </c>
      <c r="G3" s="68" t="s">
        <v>44</v>
      </c>
      <c r="H3" s="68" t="s">
        <v>45</v>
      </c>
      <c r="I3" s="68" t="s">
        <v>46</v>
      </c>
      <c r="J3" s="68" t="s">
        <v>47</v>
      </c>
      <c r="K3" s="23"/>
      <c r="L3" s="29"/>
      <c r="M3" s="30"/>
      <c r="N3" s="30"/>
      <c r="O3" s="30"/>
      <c r="P3" s="30"/>
      <c r="Q3" s="30"/>
      <c r="R3" s="30"/>
      <c r="S3" s="30"/>
      <c r="T3" s="30"/>
      <c r="U3" s="30"/>
      <c r="V3" s="30"/>
      <c r="W3" s="30"/>
      <c r="X3" s="30"/>
      <c r="Y3" s="30"/>
      <c r="Z3" s="30"/>
      <c r="AA3" s="30"/>
      <c r="AB3" s="30"/>
      <c r="AC3" s="30"/>
      <c r="AD3" s="30"/>
      <c r="AE3" s="31"/>
      <c r="AF3" s="23"/>
      <c r="AG3" s="23"/>
    </row>
    <row r="4" spans="1:33" x14ac:dyDescent="0.25">
      <c r="A4" s="32">
        <v>1</v>
      </c>
      <c r="B4" s="33" t="s">
        <v>48</v>
      </c>
      <c r="C4" s="34" t="s">
        <v>49</v>
      </c>
      <c r="D4" s="34" t="s">
        <v>50</v>
      </c>
      <c r="E4" s="34" t="s">
        <v>51</v>
      </c>
      <c r="F4" s="35" t="s">
        <v>52</v>
      </c>
      <c r="G4" s="35">
        <v>30062</v>
      </c>
      <c r="H4" s="33" t="s">
        <v>53</v>
      </c>
      <c r="I4" s="37" t="s">
        <v>54</v>
      </c>
      <c r="J4" s="70">
        <v>157665</v>
      </c>
      <c r="K4" s="23"/>
      <c r="L4" s="300" t="s">
        <v>55</v>
      </c>
      <c r="M4" s="301"/>
      <c r="N4" s="301"/>
      <c r="O4" s="301"/>
      <c r="P4" s="301"/>
      <c r="Q4" s="301"/>
      <c r="R4" s="301"/>
      <c r="S4" s="301"/>
      <c r="T4" s="301"/>
      <c r="U4" s="301"/>
      <c r="V4" s="301"/>
      <c r="W4" s="301"/>
      <c r="X4" s="301"/>
      <c r="Y4" s="301"/>
      <c r="Z4" s="301"/>
      <c r="AA4" s="301"/>
      <c r="AB4" s="301"/>
      <c r="AC4" s="301"/>
      <c r="AD4" s="301"/>
      <c r="AE4" s="302"/>
      <c r="AF4" s="23"/>
      <c r="AG4" s="23"/>
    </row>
    <row r="5" spans="1:33" x14ac:dyDescent="0.25">
      <c r="A5" s="32">
        <v>2</v>
      </c>
      <c r="B5" s="39" t="s">
        <v>56</v>
      </c>
      <c r="C5" s="39" t="s">
        <v>57</v>
      </c>
      <c r="D5" s="39" t="s">
        <v>58</v>
      </c>
      <c r="E5" s="39" t="s">
        <v>51</v>
      </c>
      <c r="F5" s="40" t="s">
        <v>52</v>
      </c>
      <c r="G5" s="40">
        <v>30063</v>
      </c>
      <c r="H5" s="42" t="s">
        <v>59</v>
      </c>
      <c r="I5" s="43" t="s">
        <v>60</v>
      </c>
      <c r="J5" s="71">
        <v>156340</v>
      </c>
      <c r="K5" s="23"/>
      <c r="L5" s="45"/>
      <c r="M5" s="46"/>
      <c r="N5" s="46"/>
      <c r="O5" s="46"/>
      <c r="P5" s="46"/>
      <c r="Q5" s="46"/>
      <c r="R5" s="46"/>
      <c r="S5" s="46"/>
      <c r="T5" s="46"/>
      <c r="U5" s="46"/>
      <c r="V5" s="46"/>
      <c r="W5" s="46"/>
      <c r="X5" s="46"/>
      <c r="Y5" s="46"/>
      <c r="Z5" s="46"/>
      <c r="AA5" s="46"/>
      <c r="AB5" s="46"/>
      <c r="AC5" s="46"/>
      <c r="AD5" s="46"/>
      <c r="AE5" s="47"/>
      <c r="AF5" s="23"/>
      <c r="AG5" s="23"/>
    </row>
    <row r="6" spans="1:33" x14ac:dyDescent="0.25">
      <c r="A6" s="32">
        <v>3</v>
      </c>
      <c r="B6" s="39" t="s">
        <v>61</v>
      </c>
      <c r="C6" s="42" t="s">
        <v>62</v>
      </c>
      <c r="D6" s="39" t="s">
        <v>63</v>
      </c>
      <c r="E6" s="39" t="s">
        <v>51</v>
      </c>
      <c r="F6" s="40" t="s">
        <v>52</v>
      </c>
      <c r="G6" s="40">
        <v>30064</v>
      </c>
      <c r="H6" s="42" t="s">
        <v>64</v>
      </c>
      <c r="I6" s="43" t="s">
        <v>65</v>
      </c>
      <c r="J6" s="71">
        <v>81480</v>
      </c>
      <c r="K6" s="23"/>
      <c r="L6" s="45"/>
      <c r="M6" s="48" t="s">
        <v>39</v>
      </c>
      <c r="N6" s="46"/>
      <c r="O6" s="46"/>
      <c r="P6" s="49" t="str">
        <f>VLOOKUP(SUBTOTAL(3,$B$4:$B$999),$A$4:$J$999,2,FALSE)</f>
        <v>Curtis</v>
      </c>
      <c r="Q6" s="50"/>
      <c r="R6" s="50"/>
      <c r="S6" s="50"/>
      <c r="T6" s="50"/>
      <c r="U6" s="51"/>
      <c r="V6" s="46"/>
      <c r="W6" s="52" t="s">
        <v>42</v>
      </c>
      <c r="X6" s="46"/>
      <c r="Y6" s="49" t="str">
        <f>VLOOKUP(SUBTOTAL(3,$B$4:$B$999),$A$4:$J$999,5,FALSE)</f>
        <v>Riverton</v>
      </c>
      <c r="Z6" s="50"/>
      <c r="AA6" s="50"/>
      <c r="AB6" s="50"/>
      <c r="AC6" s="50"/>
      <c r="AD6" s="51"/>
      <c r="AE6" s="47"/>
      <c r="AF6" s="23"/>
      <c r="AG6" s="23"/>
    </row>
    <row r="7" spans="1:33" x14ac:dyDescent="0.25">
      <c r="A7" s="32">
        <v>4</v>
      </c>
      <c r="B7" s="39" t="s">
        <v>66</v>
      </c>
      <c r="C7" s="42" t="s">
        <v>67</v>
      </c>
      <c r="D7" s="39" t="s">
        <v>68</v>
      </c>
      <c r="E7" s="39" t="s">
        <v>51</v>
      </c>
      <c r="F7" s="40" t="s">
        <v>52</v>
      </c>
      <c r="G7" s="40">
        <v>30065</v>
      </c>
      <c r="H7" s="42" t="s">
        <v>69</v>
      </c>
      <c r="I7" s="43" t="s">
        <v>54</v>
      </c>
      <c r="J7" s="71">
        <v>202578</v>
      </c>
      <c r="K7" s="23"/>
      <c r="L7" s="45"/>
      <c r="M7" s="46"/>
      <c r="N7" s="46"/>
      <c r="O7" s="46"/>
      <c r="P7" s="46"/>
      <c r="Q7" s="46"/>
      <c r="R7" s="46"/>
      <c r="S7" s="46"/>
      <c r="T7" s="46"/>
      <c r="U7" s="46"/>
      <c r="V7" s="46"/>
      <c r="W7" s="46"/>
      <c r="X7" s="46"/>
      <c r="Y7" s="46"/>
      <c r="Z7" s="46"/>
      <c r="AA7" s="46"/>
      <c r="AB7" s="46"/>
      <c r="AC7" s="46"/>
      <c r="AD7" s="46"/>
      <c r="AE7" s="47"/>
      <c r="AF7" s="23"/>
      <c r="AG7" s="23"/>
    </row>
    <row r="8" spans="1:33" x14ac:dyDescent="0.25">
      <c r="A8" s="32">
        <v>5</v>
      </c>
      <c r="B8" s="42" t="s">
        <v>70</v>
      </c>
      <c r="C8" s="39" t="s">
        <v>71</v>
      </c>
      <c r="D8" s="39" t="s">
        <v>72</v>
      </c>
      <c r="E8" s="39" t="s">
        <v>51</v>
      </c>
      <c r="F8" s="40" t="s">
        <v>52</v>
      </c>
      <c r="G8" s="40">
        <v>30066</v>
      </c>
      <c r="H8" s="42" t="s">
        <v>73</v>
      </c>
      <c r="I8" s="43" t="s">
        <v>60</v>
      </c>
      <c r="J8" s="71">
        <v>177209</v>
      </c>
      <c r="K8" s="23"/>
      <c r="L8" s="45"/>
      <c r="M8" s="48" t="s">
        <v>40</v>
      </c>
      <c r="N8" s="46"/>
      <c r="O8" s="46"/>
      <c r="P8" s="49" t="str">
        <f>VLOOKUP(SUBTOTAL(3,$B$4:$B$999),$A$4:$J$999,3,FALSE)</f>
        <v>Chad</v>
      </c>
      <c r="Q8" s="50"/>
      <c r="R8" s="50"/>
      <c r="S8" s="50"/>
      <c r="T8" s="50"/>
      <c r="U8" s="51"/>
      <c r="V8" s="46"/>
      <c r="W8" s="52" t="s">
        <v>43</v>
      </c>
      <c r="X8" s="46"/>
      <c r="Y8" s="49" t="str">
        <f>VLOOKUP(SUBTOTAL(3,$B$4:$B$999),$A$4:$J$999,6,FALSE)</f>
        <v>UT</v>
      </c>
      <c r="Z8" s="50"/>
      <c r="AA8" s="50"/>
      <c r="AB8" s="50"/>
      <c r="AC8" s="50"/>
      <c r="AD8" s="51"/>
      <c r="AE8" s="47"/>
      <c r="AF8" s="23"/>
      <c r="AG8" s="23"/>
    </row>
    <row r="9" spans="1:33" x14ac:dyDescent="0.25">
      <c r="A9" s="32">
        <v>6</v>
      </c>
      <c r="B9" s="39" t="s">
        <v>74</v>
      </c>
      <c r="C9" s="39" t="s">
        <v>75</v>
      </c>
      <c r="D9" s="39" t="s">
        <v>76</v>
      </c>
      <c r="E9" s="39" t="s">
        <v>77</v>
      </c>
      <c r="F9" s="40" t="s">
        <v>52</v>
      </c>
      <c r="G9" s="40">
        <v>30092</v>
      </c>
      <c r="H9" s="42" t="s">
        <v>78</v>
      </c>
      <c r="I9" s="43" t="s">
        <v>65</v>
      </c>
      <c r="J9" s="71">
        <v>212254.23</v>
      </c>
      <c r="K9" s="23"/>
      <c r="L9" s="45"/>
      <c r="M9" s="46"/>
      <c r="N9" s="46"/>
      <c r="O9" s="46"/>
      <c r="P9" s="46"/>
      <c r="Q9" s="46"/>
      <c r="R9" s="46"/>
      <c r="S9" s="46"/>
      <c r="T9" s="46"/>
      <c r="U9" s="46"/>
      <c r="V9" s="46"/>
      <c r="W9" s="46"/>
      <c r="X9" s="46"/>
      <c r="Y9" s="46"/>
      <c r="Z9" s="46"/>
      <c r="AA9" s="46"/>
      <c r="AB9" s="46"/>
      <c r="AC9" s="46"/>
      <c r="AD9" s="46"/>
      <c r="AE9" s="47"/>
      <c r="AF9" s="23"/>
      <c r="AG9" s="23"/>
    </row>
    <row r="10" spans="1:33" x14ac:dyDescent="0.25">
      <c r="A10" s="32">
        <v>7</v>
      </c>
      <c r="B10" s="39" t="s">
        <v>79</v>
      </c>
      <c r="C10" s="39" t="s">
        <v>80</v>
      </c>
      <c r="D10" s="39" t="s">
        <v>50</v>
      </c>
      <c r="E10" s="39" t="s">
        <v>81</v>
      </c>
      <c r="F10" s="40" t="s">
        <v>82</v>
      </c>
      <c r="G10" s="40">
        <v>30092</v>
      </c>
      <c r="H10" s="42" t="s">
        <v>53</v>
      </c>
      <c r="I10" s="43" t="s">
        <v>54</v>
      </c>
      <c r="J10" s="71">
        <v>124533.45</v>
      </c>
      <c r="K10" s="23"/>
      <c r="L10" s="45"/>
      <c r="M10" s="48" t="s">
        <v>41</v>
      </c>
      <c r="N10" s="46"/>
      <c r="O10" s="46"/>
      <c r="P10" s="49" t="str">
        <f>VLOOKUP(SUBTOTAL(3,$B$4:$B$999),$A$4:$J$999,4,FALSE)</f>
        <v>130 Main Street</v>
      </c>
      <c r="Q10" s="50"/>
      <c r="R10" s="50"/>
      <c r="S10" s="50"/>
      <c r="T10" s="50"/>
      <c r="U10" s="51"/>
      <c r="V10" s="46"/>
      <c r="W10" s="52" t="s">
        <v>44</v>
      </c>
      <c r="X10" s="46"/>
      <c r="Y10" s="49" t="str">
        <f>TEXT(VLOOKUP(SUBTOTAL(3,$B$4:$B$999),$A$4:$J$999,7,FALSE),0)</f>
        <v>84065</v>
      </c>
      <c r="Z10" s="50"/>
      <c r="AA10" s="50"/>
      <c r="AB10" s="50"/>
      <c r="AC10" s="50"/>
      <c r="AD10" s="51"/>
      <c r="AE10" s="47"/>
      <c r="AF10" s="23"/>
      <c r="AG10" s="23"/>
    </row>
    <row r="11" spans="1:33" x14ac:dyDescent="0.25">
      <c r="A11" s="32">
        <v>8</v>
      </c>
      <c r="B11" s="39" t="s">
        <v>327</v>
      </c>
      <c r="C11" s="39" t="s">
        <v>328</v>
      </c>
      <c r="D11" s="39" t="s">
        <v>329</v>
      </c>
      <c r="E11" s="39" t="s">
        <v>330</v>
      </c>
      <c r="F11" s="40" t="s">
        <v>331</v>
      </c>
      <c r="G11" s="40">
        <v>84065</v>
      </c>
      <c r="H11" s="42" t="s">
        <v>332</v>
      </c>
      <c r="I11" s="43" t="s">
        <v>65</v>
      </c>
      <c r="J11" s="71">
        <v>171332.23</v>
      </c>
      <c r="K11" s="23"/>
      <c r="L11" s="45"/>
      <c r="M11" s="46"/>
      <c r="N11" s="46"/>
      <c r="O11" s="46"/>
      <c r="P11" s="46"/>
      <c r="Q11" s="46"/>
      <c r="R11" s="46"/>
      <c r="S11" s="46"/>
      <c r="T11" s="46"/>
      <c r="U11" s="46"/>
      <c r="V11" s="46"/>
      <c r="W11" s="46"/>
      <c r="X11" s="46"/>
      <c r="Y11" s="46"/>
      <c r="Z11" s="46"/>
      <c r="AA11" s="46"/>
      <c r="AB11" s="46"/>
      <c r="AC11" s="46"/>
      <c r="AD11" s="46"/>
      <c r="AE11" s="47"/>
      <c r="AF11" s="23"/>
      <c r="AG11" s="23"/>
    </row>
    <row r="12" spans="1:33" x14ac:dyDescent="0.25">
      <c r="A12" s="32">
        <v>9</v>
      </c>
      <c r="B12" s="39"/>
      <c r="C12" s="39"/>
      <c r="D12" s="39"/>
      <c r="E12" s="39"/>
      <c r="F12" s="40"/>
      <c r="G12" s="40"/>
      <c r="H12" s="42"/>
      <c r="I12" s="43"/>
      <c r="J12" s="71"/>
      <c r="K12" s="23"/>
      <c r="L12" s="45"/>
      <c r="M12" s="52" t="s">
        <v>45</v>
      </c>
      <c r="N12" s="46"/>
      <c r="O12" s="46"/>
      <c r="P12" s="49" t="str">
        <f>VLOOKUP(SUBTOTAL(3,$B$4:$B$999),$A$4:$J$999,8,FALSE)</f>
        <v>801.555.1379</v>
      </c>
      <c r="Q12" s="50"/>
      <c r="R12" s="50"/>
      <c r="S12" s="50"/>
      <c r="T12" s="50"/>
      <c r="U12" s="51"/>
      <c r="V12" s="46"/>
      <c r="W12" s="60" t="s">
        <v>99</v>
      </c>
      <c r="X12" s="46"/>
      <c r="Y12" s="49" t="str">
        <f>VLOOKUP(SUBTOTAL(3,$B$4:$B$999),$A$4:$J$999,9,FALSE)</f>
        <v>Plan C</v>
      </c>
      <c r="Z12" s="50"/>
      <c r="AA12" s="50"/>
      <c r="AB12" s="50"/>
      <c r="AC12" s="50"/>
      <c r="AD12" s="51"/>
      <c r="AE12" s="47"/>
      <c r="AF12" s="23"/>
      <c r="AG12" s="23"/>
    </row>
    <row r="13" spans="1:33" x14ac:dyDescent="0.25">
      <c r="A13" s="32">
        <v>10</v>
      </c>
      <c r="B13" s="42"/>
      <c r="C13" s="39"/>
      <c r="D13" s="39"/>
      <c r="E13" s="39"/>
      <c r="F13" s="40"/>
      <c r="G13" s="40"/>
      <c r="H13" s="42"/>
      <c r="I13" s="43"/>
      <c r="J13" s="71"/>
      <c r="K13" s="23"/>
      <c r="L13" s="45"/>
      <c r="M13" s="46"/>
      <c r="N13" s="46"/>
      <c r="O13" s="46"/>
      <c r="P13" s="46"/>
      <c r="Q13" s="46"/>
      <c r="R13" s="46"/>
      <c r="S13" s="46"/>
      <c r="T13" s="46"/>
      <c r="U13" s="46"/>
      <c r="V13" s="46"/>
      <c r="W13" s="46"/>
      <c r="X13" s="46"/>
      <c r="Y13" s="46"/>
      <c r="Z13" s="46"/>
      <c r="AA13" s="46"/>
      <c r="AB13" s="46"/>
      <c r="AC13" s="46"/>
      <c r="AD13" s="46"/>
      <c r="AE13" s="47"/>
      <c r="AF13" s="23"/>
      <c r="AG13" s="23"/>
    </row>
    <row r="14" spans="1:33" x14ac:dyDescent="0.25">
      <c r="A14" s="32">
        <v>11</v>
      </c>
      <c r="B14" s="39"/>
      <c r="C14" s="39"/>
      <c r="D14" s="39"/>
      <c r="E14" s="39"/>
      <c r="F14" s="40"/>
      <c r="G14" s="40"/>
      <c r="H14" s="42"/>
      <c r="I14" s="43"/>
      <c r="J14" s="71"/>
      <c r="K14" s="23"/>
      <c r="L14" s="45"/>
      <c r="M14" s="52" t="s">
        <v>90</v>
      </c>
      <c r="N14" s="46"/>
      <c r="O14" s="46"/>
      <c r="P14" s="46"/>
      <c r="Q14" s="46"/>
      <c r="R14" s="46"/>
      <c r="S14" s="46"/>
      <c r="T14" s="46"/>
      <c r="U14" s="46"/>
      <c r="V14" s="46"/>
      <c r="W14" s="46"/>
      <c r="X14" s="46"/>
      <c r="Y14" s="49" t="str">
        <f>TEXT(VLOOKUP(SUBTOTAL(3,$B$4:$B$999),$A$4:$J$999,10,FALSE),"$0,000.00")</f>
        <v>$171,332.23</v>
      </c>
      <c r="Z14" s="50"/>
      <c r="AA14" s="50"/>
      <c r="AB14" s="50"/>
      <c r="AC14" s="50"/>
      <c r="AD14" s="51"/>
      <c r="AE14" s="47"/>
      <c r="AF14" s="23"/>
      <c r="AG14" s="23"/>
    </row>
    <row r="15" spans="1:33" x14ac:dyDescent="0.25">
      <c r="A15" s="32">
        <v>12</v>
      </c>
      <c r="B15" s="39"/>
      <c r="C15" s="39"/>
      <c r="D15" s="39"/>
      <c r="E15" s="39"/>
      <c r="F15" s="40"/>
      <c r="G15" s="40"/>
      <c r="H15" s="42"/>
      <c r="I15" s="43"/>
      <c r="J15" s="71"/>
      <c r="K15" s="23"/>
      <c r="L15" s="45"/>
      <c r="M15" s="46"/>
      <c r="N15" s="46"/>
      <c r="O15" s="46"/>
      <c r="P15" s="46"/>
      <c r="Q15" s="46"/>
      <c r="R15" s="46"/>
      <c r="S15" s="46"/>
      <c r="T15" s="46"/>
      <c r="U15" s="46"/>
      <c r="V15" s="46"/>
      <c r="W15" s="46"/>
      <c r="X15" s="46"/>
      <c r="Y15" s="46"/>
      <c r="Z15" s="46"/>
      <c r="AA15" s="46"/>
      <c r="AB15" s="46"/>
      <c r="AC15" s="46"/>
      <c r="AD15" s="46"/>
      <c r="AE15" s="47"/>
      <c r="AF15" s="23"/>
      <c r="AG15" s="23"/>
    </row>
    <row r="16" spans="1:33" x14ac:dyDescent="0.25">
      <c r="A16" s="32">
        <v>13</v>
      </c>
      <c r="B16" s="33"/>
      <c r="C16" s="34"/>
      <c r="D16" s="34"/>
      <c r="E16" s="34"/>
      <c r="F16" s="35"/>
      <c r="G16" s="35"/>
      <c r="H16" s="33"/>
      <c r="I16" s="37"/>
      <c r="J16" s="70"/>
      <c r="K16" s="23"/>
      <c r="L16" s="303" t="s">
        <v>91</v>
      </c>
      <c r="M16" s="304"/>
      <c r="N16" s="304"/>
      <c r="O16" s="304"/>
      <c r="P16" s="304"/>
      <c r="Q16" s="304"/>
      <c r="R16" s="304"/>
      <c r="S16" s="304"/>
      <c r="T16" s="304"/>
      <c r="U16" s="304"/>
      <c r="V16" s="304"/>
      <c r="W16" s="304"/>
      <c r="X16" s="304"/>
      <c r="Y16" s="304"/>
      <c r="Z16" s="304"/>
      <c r="AA16" s="304"/>
      <c r="AB16" s="304"/>
      <c r="AC16" s="304"/>
      <c r="AD16" s="304"/>
      <c r="AE16" s="305"/>
      <c r="AF16" s="23"/>
      <c r="AG16" s="23"/>
    </row>
    <row r="17" spans="1:33" ht="16.5" thickBot="1" x14ac:dyDescent="0.3">
      <c r="A17" s="32">
        <v>14</v>
      </c>
      <c r="B17" s="39"/>
      <c r="C17" s="39"/>
      <c r="D17" s="39"/>
      <c r="E17" s="39"/>
      <c r="F17" s="40"/>
      <c r="G17" s="40"/>
      <c r="H17" s="42"/>
      <c r="I17" s="43"/>
      <c r="J17" s="71"/>
      <c r="K17" s="23"/>
      <c r="L17" s="61"/>
      <c r="M17" s="62"/>
      <c r="N17" s="62"/>
      <c r="O17" s="62"/>
      <c r="P17" s="62"/>
      <c r="Q17" s="62"/>
      <c r="R17" s="62"/>
      <c r="S17" s="62"/>
      <c r="T17" s="62"/>
      <c r="U17" s="62"/>
      <c r="V17" s="62"/>
      <c r="W17" s="62"/>
      <c r="X17" s="62"/>
      <c r="Y17" s="62"/>
      <c r="Z17" s="62"/>
      <c r="AA17" s="62"/>
      <c r="AB17" s="62"/>
      <c r="AC17" s="62"/>
      <c r="AD17" s="62"/>
      <c r="AE17" s="63"/>
      <c r="AF17" s="23"/>
      <c r="AG17" s="23"/>
    </row>
    <row r="18" spans="1:33" x14ac:dyDescent="0.25">
      <c r="A18" s="32">
        <v>15</v>
      </c>
      <c r="B18" s="39"/>
      <c r="C18" s="39"/>
      <c r="D18" s="39"/>
      <c r="E18" s="39"/>
      <c r="F18" s="40"/>
      <c r="G18" s="40"/>
      <c r="H18" s="42"/>
      <c r="I18" s="43"/>
      <c r="J18" s="71"/>
      <c r="K18" s="23"/>
      <c r="L18" s="23"/>
      <c r="M18" s="23"/>
      <c r="N18" s="23"/>
      <c r="O18" s="23"/>
      <c r="P18" s="23"/>
      <c r="Q18" s="23"/>
      <c r="R18" s="23"/>
      <c r="S18" s="23"/>
      <c r="T18" s="23"/>
      <c r="U18" s="23"/>
      <c r="V18" s="23"/>
      <c r="W18" s="23"/>
      <c r="X18" s="23"/>
      <c r="Y18" s="23"/>
      <c r="Z18" s="23"/>
      <c r="AA18" s="23"/>
      <c r="AB18" s="23"/>
      <c r="AC18" s="23"/>
      <c r="AD18" s="23"/>
      <c r="AE18" s="23"/>
      <c r="AF18" s="23"/>
      <c r="AG18" s="23"/>
    </row>
    <row r="19" spans="1:33" x14ac:dyDescent="0.25">
      <c r="A19" s="32">
        <v>16</v>
      </c>
      <c r="B19" s="39"/>
      <c r="C19" s="39"/>
      <c r="D19" s="39"/>
      <c r="E19" s="39"/>
      <c r="F19" s="40"/>
      <c r="G19" s="40"/>
      <c r="H19" s="42"/>
      <c r="I19" s="43"/>
      <c r="J19" s="71"/>
      <c r="K19" s="23"/>
      <c r="L19" s="23"/>
      <c r="M19" s="23"/>
      <c r="N19" s="23"/>
      <c r="O19" s="23"/>
      <c r="P19" s="23"/>
      <c r="Q19" s="23"/>
      <c r="R19" s="23"/>
      <c r="S19" s="23"/>
      <c r="T19" s="23"/>
      <c r="U19" s="23"/>
      <c r="V19" s="23"/>
      <c r="W19" s="23"/>
      <c r="X19" s="23"/>
      <c r="Y19" s="23"/>
      <c r="Z19" s="23"/>
      <c r="AA19" s="23"/>
      <c r="AB19" s="23"/>
      <c r="AC19" s="23"/>
      <c r="AD19" s="23"/>
      <c r="AE19" s="23"/>
      <c r="AF19" s="23"/>
      <c r="AG19" s="23"/>
    </row>
    <row r="20" spans="1:33" x14ac:dyDescent="0.25">
      <c r="A20" s="32">
        <v>17</v>
      </c>
      <c r="B20" s="39"/>
      <c r="C20" s="39"/>
      <c r="D20" s="39"/>
      <c r="E20" s="39"/>
      <c r="F20" s="40"/>
      <c r="G20" s="40"/>
      <c r="H20" s="42"/>
      <c r="I20" s="43"/>
      <c r="J20" s="71"/>
      <c r="K20" s="23"/>
      <c r="L20" s="23"/>
      <c r="M20" s="23"/>
      <c r="N20" s="23"/>
      <c r="O20" s="23"/>
      <c r="P20" s="23"/>
      <c r="Q20" s="23"/>
      <c r="R20" s="23"/>
      <c r="S20" s="23"/>
      <c r="T20" s="23"/>
      <c r="U20" s="23"/>
      <c r="V20" s="23"/>
      <c r="W20" s="23"/>
      <c r="X20" s="23"/>
      <c r="Y20" s="23"/>
      <c r="Z20" s="23"/>
      <c r="AA20" s="23"/>
      <c r="AB20" s="23"/>
      <c r="AC20" s="23"/>
      <c r="AD20" s="23"/>
      <c r="AE20" s="23"/>
      <c r="AF20" s="23"/>
      <c r="AG20" s="23"/>
    </row>
    <row r="21" spans="1:33" x14ac:dyDescent="0.25">
      <c r="A21" s="32">
        <v>18</v>
      </c>
      <c r="B21" s="39"/>
      <c r="C21" s="39"/>
      <c r="D21" s="39"/>
      <c r="E21" s="39"/>
      <c r="F21" s="40"/>
      <c r="G21" s="40"/>
      <c r="H21" s="42"/>
      <c r="I21" s="43"/>
      <c r="J21" s="71"/>
      <c r="K21" s="23"/>
      <c r="L21" s="23"/>
      <c r="M21" s="23"/>
      <c r="N21" s="23"/>
      <c r="O21" s="23"/>
      <c r="P21" s="23"/>
      <c r="Q21" s="23"/>
      <c r="R21" s="23"/>
      <c r="S21" s="23"/>
      <c r="T21" s="23"/>
      <c r="U21" s="23"/>
      <c r="V21" s="23"/>
      <c r="W21" s="23"/>
      <c r="X21" s="23"/>
      <c r="Y21" s="23"/>
      <c r="Z21" s="23"/>
      <c r="AA21" s="23"/>
      <c r="AB21" s="23"/>
      <c r="AC21" s="23"/>
      <c r="AD21" s="23"/>
      <c r="AE21" s="23"/>
      <c r="AF21" s="23"/>
      <c r="AG21" s="23"/>
    </row>
    <row r="22" spans="1:33" x14ac:dyDescent="0.25">
      <c r="A22" s="32">
        <v>19</v>
      </c>
      <c r="B22" s="39"/>
      <c r="C22" s="39"/>
      <c r="D22" s="39"/>
      <c r="E22" s="39"/>
      <c r="F22" s="40"/>
      <c r="G22" s="40"/>
      <c r="H22" s="42"/>
      <c r="I22" s="43"/>
      <c r="J22" s="71"/>
      <c r="K22" s="23"/>
      <c r="L22" s="23"/>
      <c r="M22" s="23"/>
      <c r="N22" s="23"/>
      <c r="O22" s="23"/>
      <c r="P22" s="23"/>
      <c r="Q22" s="23"/>
      <c r="R22" s="23"/>
      <c r="S22" s="23"/>
      <c r="T22" s="23"/>
      <c r="U22" s="23"/>
      <c r="V22" s="23"/>
      <c r="W22" s="23"/>
      <c r="X22" s="23"/>
      <c r="Y22" s="23"/>
      <c r="Z22" s="23"/>
      <c r="AA22" s="23"/>
      <c r="AB22" s="23"/>
      <c r="AC22" s="23"/>
      <c r="AD22" s="23"/>
      <c r="AE22" s="23"/>
      <c r="AF22" s="23"/>
      <c r="AG22" s="23"/>
    </row>
    <row r="23" spans="1:33" x14ac:dyDescent="0.25">
      <c r="A23" s="32">
        <v>20</v>
      </c>
      <c r="B23" s="39"/>
      <c r="C23" s="39"/>
      <c r="D23" s="39"/>
      <c r="E23" s="39"/>
      <c r="F23" s="40"/>
      <c r="G23" s="40"/>
      <c r="H23" s="42"/>
      <c r="I23" s="43"/>
      <c r="J23" s="71"/>
      <c r="K23" s="23"/>
      <c r="L23" s="23"/>
      <c r="M23" s="23"/>
      <c r="N23" s="23"/>
      <c r="O23" s="23"/>
      <c r="P23" s="23"/>
      <c r="Q23" s="23"/>
      <c r="R23" s="23"/>
      <c r="S23" s="23"/>
      <c r="T23" s="23"/>
      <c r="U23" s="23"/>
      <c r="V23" s="23"/>
      <c r="W23" s="23"/>
      <c r="X23" s="23"/>
      <c r="Y23" s="23"/>
      <c r="Z23" s="23"/>
      <c r="AA23" s="23"/>
      <c r="AB23" s="23"/>
      <c r="AC23" s="23"/>
      <c r="AD23" s="23"/>
      <c r="AE23" s="23"/>
      <c r="AF23" s="23"/>
      <c r="AG23" s="23"/>
    </row>
    <row r="24" spans="1:33" x14ac:dyDescent="0.25">
      <c r="A24" s="32">
        <v>21</v>
      </c>
      <c r="B24" s="39"/>
      <c r="C24" s="39"/>
      <c r="D24" s="39"/>
      <c r="E24" s="39"/>
      <c r="F24" s="40"/>
      <c r="G24" s="40"/>
      <c r="H24" s="42"/>
      <c r="I24" s="43"/>
      <c r="J24" s="71"/>
      <c r="K24" s="23"/>
      <c r="L24" s="23"/>
      <c r="M24" s="23"/>
      <c r="N24" s="23"/>
      <c r="O24" s="23"/>
      <c r="P24" s="23"/>
      <c r="Q24" s="23"/>
      <c r="R24" s="23"/>
      <c r="S24" s="23"/>
      <c r="T24" s="23"/>
      <c r="U24" s="23"/>
      <c r="V24" s="23"/>
      <c r="W24" s="23"/>
      <c r="X24" s="23"/>
      <c r="Y24" s="23"/>
      <c r="Z24" s="23"/>
      <c r="AA24" s="23"/>
      <c r="AB24" s="23"/>
      <c r="AC24" s="23"/>
      <c r="AD24" s="23"/>
      <c r="AE24" s="23"/>
      <c r="AF24" s="23"/>
      <c r="AG24" s="23"/>
    </row>
    <row r="25" spans="1:33" x14ac:dyDescent="0.25">
      <c r="A25" s="32">
        <v>22</v>
      </c>
      <c r="B25" s="39"/>
      <c r="C25" s="39"/>
      <c r="D25" s="39"/>
      <c r="E25" s="39"/>
      <c r="F25" s="40"/>
      <c r="G25" s="40"/>
      <c r="H25" s="42"/>
      <c r="I25" s="43"/>
      <c r="J25" s="71"/>
      <c r="K25" s="23"/>
      <c r="L25" s="23"/>
      <c r="M25" s="23"/>
      <c r="N25" s="23"/>
      <c r="O25" s="23"/>
      <c r="P25" s="23"/>
      <c r="Q25" s="23"/>
      <c r="R25" s="23"/>
      <c r="S25" s="23"/>
      <c r="T25" s="23"/>
      <c r="U25" s="23"/>
      <c r="V25" s="23"/>
      <c r="W25" s="23"/>
      <c r="X25" s="23"/>
      <c r="Y25" s="23"/>
      <c r="Z25" s="23"/>
      <c r="AA25" s="23"/>
      <c r="AB25" s="23"/>
      <c r="AC25" s="23"/>
      <c r="AD25" s="23"/>
      <c r="AE25" s="23"/>
      <c r="AF25" s="23"/>
      <c r="AG25" s="23"/>
    </row>
    <row r="26" spans="1:33" x14ac:dyDescent="0.25">
      <c r="A26" s="32">
        <v>23</v>
      </c>
      <c r="B26" s="39"/>
      <c r="C26" s="39"/>
      <c r="D26" s="39"/>
      <c r="E26" s="39"/>
      <c r="F26" s="40"/>
      <c r="G26" s="40"/>
      <c r="H26" s="42"/>
      <c r="I26" s="43"/>
      <c r="J26" s="71"/>
      <c r="K26" s="23"/>
      <c r="L26" s="23"/>
      <c r="M26" s="23"/>
      <c r="N26" s="23"/>
      <c r="O26" s="23"/>
      <c r="P26" s="23"/>
      <c r="Q26" s="23"/>
      <c r="R26" s="23"/>
      <c r="S26" s="23"/>
      <c r="T26" s="23"/>
      <c r="U26" s="23"/>
      <c r="V26" s="23"/>
      <c r="W26" s="23"/>
      <c r="X26" s="23"/>
      <c r="Y26" s="23"/>
      <c r="Z26" s="23"/>
      <c r="AA26" s="23"/>
      <c r="AB26" s="23"/>
      <c r="AC26" s="23"/>
      <c r="AD26" s="23"/>
      <c r="AE26" s="23"/>
      <c r="AF26" s="23"/>
      <c r="AG26" s="23"/>
    </row>
    <row r="27" spans="1:33" x14ac:dyDescent="0.25">
      <c r="A27" s="32">
        <v>24</v>
      </c>
      <c r="B27" s="39"/>
      <c r="C27" s="39"/>
      <c r="D27" s="39"/>
      <c r="E27" s="39"/>
      <c r="F27" s="40"/>
      <c r="G27" s="40"/>
      <c r="H27" s="42"/>
      <c r="I27" s="43"/>
      <c r="J27" s="71"/>
      <c r="K27" s="23"/>
      <c r="L27" s="23"/>
      <c r="M27" s="23"/>
      <c r="N27" s="23"/>
      <c r="O27" s="23"/>
      <c r="P27" s="23"/>
      <c r="Q27" s="23"/>
      <c r="R27" s="23"/>
      <c r="S27" s="23"/>
      <c r="T27" s="23"/>
      <c r="U27" s="23"/>
      <c r="V27" s="23"/>
      <c r="W27" s="23"/>
      <c r="X27" s="23"/>
      <c r="Y27" s="23"/>
      <c r="Z27" s="23"/>
      <c r="AA27" s="23"/>
      <c r="AB27" s="23"/>
      <c r="AC27" s="23"/>
      <c r="AD27" s="23"/>
      <c r="AE27" s="23"/>
      <c r="AF27" s="23"/>
      <c r="AG27" s="23"/>
    </row>
  </sheetData>
  <mergeCells count="2">
    <mergeCell ref="L4:AE4"/>
    <mergeCell ref="L16:AE16"/>
  </mergeCells>
  <pageMargins left="0.7" right="0.7" top="0.75" bottom="0.75" header="0.3" footer="0.3"/>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dimension ref="A1:AG28"/>
  <sheetViews>
    <sheetView showGridLines="0" workbookViewId="0">
      <selection activeCell="Q1" sqref="Q1"/>
    </sheetView>
  </sheetViews>
  <sheetFormatPr defaultRowHeight="15.75" x14ac:dyDescent="0.25"/>
  <cols>
    <col min="1" max="1" width="7.875" bestFit="1" customWidth="1"/>
    <col min="2" max="3" width="10" bestFit="1" customWidth="1"/>
    <col min="4" max="4" width="19" bestFit="1" customWidth="1"/>
    <col min="5" max="5" width="8.375" bestFit="1" customWidth="1"/>
    <col min="6" max="6" width="5.375" bestFit="1" customWidth="1"/>
    <col min="7" max="7" width="5.875" bestFit="1" customWidth="1"/>
    <col min="8" max="8" width="11.875" bestFit="1" customWidth="1"/>
    <col min="9" max="9" width="11.875" customWidth="1"/>
    <col min="10" max="10" width="12.125" bestFit="1" customWidth="1"/>
    <col min="11" max="11" width="3.75" customWidth="1"/>
    <col min="12" max="31" width="3.625" customWidth="1"/>
    <col min="32" max="32" width="3" customWidth="1"/>
  </cols>
  <sheetData>
    <row r="1" spans="1:33" x14ac:dyDescent="0.25">
      <c r="A1" s="16"/>
      <c r="B1" s="16"/>
      <c r="C1" s="16"/>
      <c r="D1" s="16"/>
      <c r="E1" s="16"/>
      <c r="F1" s="16"/>
      <c r="G1" s="16"/>
      <c r="H1" s="16"/>
      <c r="I1" s="16"/>
      <c r="J1" s="16"/>
      <c r="K1" s="16"/>
      <c r="L1" s="16"/>
      <c r="M1" s="16"/>
      <c r="N1" s="16"/>
      <c r="O1" s="16"/>
      <c r="P1" s="16"/>
      <c r="Q1" s="16"/>
      <c r="R1" s="16"/>
      <c r="S1" s="17">
        <f t="shared" ref="S1:AB1" si="0">VLOOKUP(MAX($A$3:$A$147),$A$3:$H$147,2)</f>
        <v>0</v>
      </c>
      <c r="T1" s="17">
        <f t="shared" si="0"/>
        <v>0</v>
      </c>
      <c r="U1" s="17">
        <f t="shared" si="0"/>
        <v>0</v>
      </c>
      <c r="V1" s="17">
        <f t="shared" si="0"/>
        <v>0</v>
      </c>
      <c r="W1" s="17">
        <f t="shared" si="0"/>
        <v>0</v>
      </c>
      <c r="X1" s="17">
        <f t="shared" si="0"/>
        <v>0</v>
      </c>
      <c r="Y1" s="17">
        <f t="shared" si="0"/>
        <v>0</v>
      </c>
      <c r="Z1" s="17">
        <f t="shared" si="0"/>
        <v>0</v>
      </c>
      <c r="AA1" s="17">
        <f t="shared" si="0"/>
        <v>0</v>
      </c>
      <c r="AB1" s="17">
        <f t="shared" si="0"/>
        <v>0</v>
      </c>
      <c r="AC1" s="18"/>
      <c r="AD1" s="18"/>
      <c r="AE1" s="18"/>
      <c r="AF1" s="18"/>
      <c r="AG1" s="18"/>
    </row>
    <row r="2" spans="1:33" ht="16.5" thickBot="1" x14ac:dyDescent="0.3">
      <c r="A2" s="73"/>
      <c r="B2" s="20"/>
      <c r="C2" s="20"/>
      <c r="D2" s="20"/>
      <c r="E2" s="20"/>
      <c r="F2" s="20"/>
      <c r="G2" s="20"/>
      <c r="H2" s="20"/>
      <c r="I2" s="22"/>
      <c r="J2" s="20"/>
      <c r="K2" s="23"/>
      <c r="L2" s="23"/>
      <c r="M2" s="23"/>
      <c r="N2" s="23"/>
      <c r="O2" s="23"/>
      <c r="P2" s="23"/>
      <c r="Q2" s="23"/>
      <c r="R2" s="23"/>
      <c r="S2" s="23"/>
      <c r="T2" s="23"/>
      <c r="U2" s="23"/>
      <c r="V2" s="23"/>
      <c r="W2" s="23"/>
      <c r="X2" s="23"/>
      <c r="Y2" s="23"/>
      <c r="Z2" s="23"/>
      <c r="AA2" s="23"/>
      <c r="AB2" s="23"/>
      <c r="AC2" s="23"/>
      <c r="AD2" s="23"/>
      <c r="AE2" s="23"/>
      <c r="AF2" s="23"/>
      <c r="AG2" s="23"/>
    </row>
    <row r="3" spans="1:33" x14ac:dyDescent="0.25">
      <c r="A3" s="68" t="s">
        <v>38</v>
      </c>
      <c r="B3" s="69" t="s">
        <v>39</v>
      </c>
      <c r="C3" s="69" t="s">
        <v>40</v>
      </c>
      <c r="D3" s="69" t="s">
        <v>41</v>
      </c>
      <c r="E3" s="68" t="s">
        <v>42</v>
      </c>
      <c r="F3" s="68" t="s">
        <v>43</v>
      </c>
      <c r="G3" s="68" t="s">
        <v>44</v>
      </c>
      <c r="H3" s="68" t="s">
        <v>45</v>
      </c>
      <c r="I3" s="68" t="s">
        <v>46</v>
      </c>
      <c r="J3" s="68" t="s">
        <v>47</v>
      </c>
      <c r="K3" s="23"/>
      <c r="L3" s="29"/>
      <c r="M3" s="30"/>
      <c r="N3" s="30"/>
      <c r="O3" s="30"/>
      <c r="P3" s="30"/>
      <c r="Q3" s="30"/>
      <c r="R3" s="30"/>
      <c r="S3" s="30"/>
      <c r="T3" s="30"/>
      <c r="U3" s="30"/>
      <c r="V3" s="30"/>
      <c r="W3" s="30"/>
      <c r="X3" s="30"/>
      <c r="Y3" s="30"/>
      <c r="Z3" s="30"/>
      <c r="AA3" s="30"/>
      <c r="AB3" s="30"/>
      <c r="AC3" s="30"/>
      <c r="AD3" s="30"/>
      <c r="AE3" s="31"/>
      <c r="AF3" s="23"/>
      <c r="AG3" s="23"/>
    </row>
    <row r="4" spans="1:33" x14ac:dyDescent="0.25">
      <c r="A4" s="32">
        <v>1</v>
      </c>
      <c r="B4" s="33" t="s">
        <v>48</v>
      </c>
      <c r="C4" s="34" t="s">
        <v>49</v>
      </c>
      <c r="D4" s="34" t="s">
        <v>50</v>
      </c>
      <c r="E4" s="34" t="s">
        <v>51</v>
      </c>
      <c r="F4" s="35" t="s">
        <v>52</v>
      </c>
      <c r="G4" s="35">
        <v>30062</v>
      </c>
      <c r="H4" s="33" t="s">
        <v>53</v>
      </c>
      <c r="I4" s="37" t="s">
        <v>54</v>
      </c>
      <c r="J4" s="70">
        <v>157665</v>
      </c>
      <c r="K4" s="23"/>
      <c r="L4" s="300" t="s">
        <v>55</v>
      </c>
      <c r="M4" s="301"/>
      <c r="N4" s="301"/>
      <c r="O4" s="301"/>
      <c r="P4" s="301"/>
      <c r="Q4" s="301"/>
      <c r="R4" s="301"/>
      <c r="S4" s="301"/>
      <c r="T4" s="301"/>
      <c r="U4" s="301"/>
      <c r="V4" s="301"/>
      <c r="W4" s="301"/>
      <c r="X4" s="301"/>
      <c r="Y4" s="301"/>
      <c r="Z4" s="301"/>
      <c r="AA4" s="301"/>
      <c r="AB4" s="301"/>
      <c r="AC4" s="301"/>
      <c r="AD4" s="301"/>
      <c r="AE4" s="302"/>
      <c r="AF4" s="23"/>
      <c r="AG4" s="23"/>
    </row>
    <row r="5" spans="1:33" x14ac:dyDescent="0.25">
      <c r="A5" s="32">
        <v>2</v>
      </c>
      <c r="B5" s="39" t="s">
        <v>56</v>
      </c>
      <c r="C5" s="39" t="s">
        <v>57</v>
      </c>
      <c r="D5" s="39" t="s">
        <v>58</v>
      </c>
      <c r="E5" s="39" t="s">
        <v>51</v>
      </c>
      <c r="F5" s="40" t="s">
        <v>52</v>
      </c>
      <c r="G5" s="40">
        <v>30063</v>
      </c>
      <c r="H5" s="42" t="s">
        <v>59</v>
      </c>
      <c r="I5" s="43" t="s">
        <v>60</v>
      </c>
      <c r="J5" s="71">
        <v>156340</v>
      </c>
      <c r="K5" s="23"/>
      <c r="L5" s="45"/>
      <c r="M5" s="46"/>
      <c r="N5" s="46"/>
      <c r="O5" s="46"/>
      <c r="P5" s="46"/>
      <c r="Q5" s="46"/>
      <c r="R5" s="46"/>
      <c r="S5" s="46"/>
      <c r="T5" s="46"/>
      <c r="U5" s="46"/>
      <c r="V5" s="46"/>
      <c r="W5" s="46"/>
      <c r="X5" s="46"/>
      <c r="Y5" s="46"/>
      <c r="Z5" s="46"/>
      <c r="AA5" s="46"/>
      <c r="AB5" s="46"/>
      <c r="AC5" s="46"/>
      <c r="AD5" s="46"/>
      <c r="AE5" s="47"/>
      <c r="AF5" s="23"/>
      <c r="AG5" s="23"/>
    </row>
    <row r="6" spans="1:33" x14ac:dyDescent="0.25">
      <c r="A6" s="32">
        <v>3</v>
      </c>
      <c r="B6" s="39" t="s">
        <v>61</v>
      </c>
      <c r="C6" s="42" t="s">
        <v>62</v>
      </c>
      <c r="D6" s="39" t="s">
        <v>63</v>
      </c>
      <c r="E6" s="39" t="s">
        <v>51</v>
      </c>
      <c r="F6" s="40" t="s">
        <v>52</v>
      </c>
      <c r="G6" s="40">
        <v>30064</v>
      </c>
      <c r="H6" s="42" t="s">
        <v>64</v>
      </c>
      <c r="I6" s="43" t="s">
        <v>65</v>
      </c>
      <c r="J6" s="71">
        <v>81480</v>
      </c>
      <c r="K6" s="23"/>
      <c r="L6" s="45"/>
      <c r="M6" s="48" t="s">
        <v>39</v>
      </c>
      <c r="N6" s="46"/>
      <c r="O6" s="46"/>
      <c r="P6" s="223" t="str">
        <f ca="1">CELL("contents",INDEX(B:B,COUNTA(B:B)+2))</f>
        <v>Collins</v>
      </c>
      <c r="Q6" s="260"/>
      <c r="R6" s="260"/>
      <c r="S6" s="260"/>
      <c r="T6" s="260"/>
      <c r="U6" s="261"/>
      <c r="V6" s="46"/>
      <c r="W6" s="52" t="s">
        <v>42</v>
      </c>
      <c r="X6" s="46"/>
      <c r="Y6" s="49" t="str">
        <f ca="1">CELL("contents",INDEX(E:E,COUNTA(E:E)+2))</f>
        <v>Norcross</v>
      </c>
      <c r="Z6" s="50"/>
      <c r="AA6" s="50"/>
      <c r="AB6" s="50"/>
      <c r="AC6" s="50"/>
      <c r="AD6" s="51"/>
      <c r="AE6" s="47"/>
      <c r="AF6" s="23"/>
      <c r="AG6" s="23"/>
    </row>
    <row r="7" spans="1:33" x14ac:dyDescent="0.25">
      <c r="A7" s="32">
        <v>4</v>
      </c>
      <c r="B7" s="39" t="s">
        <v>66</v>
      </c>
      <c r="C7" s="42" t="s">
        <v>67</v>
      </c>
      <c r="D7" s="39" t="s">
        <v>68</v>
      </c>
      <c r="E7" s="39" t="s">
        <v>51</v>
      </c>
      <c r="F7" s="40" t="s">
        <v>52</v>
      </c>
      <c r="G7" s="40">
        <v>30065</v>
      </c>
      <c r="H7" s="42" t="s">
        <v>69</v>
      </c>
      <c r="I7" s="43" t="s">
        <v>54</v>
      </c>
      <c r="J7" s="71">
        <v>202578</v>
      </c>
      <c r="K7" s="23"/>
      <c r="L7" s="45"/>
      <c r="M7" s="46"/>
      <c r="N7" s="46"/>
      <c r="O7" s="46"/>
      <c r="P7" s="46"/>
      <c r="Q7" s="46"/>
      <c r="R7" s="46"/>
      <c r="S7" s="46"/>
      <c r="T7" s="46"/>
      <c r="U7" s="46"/>
      <c r="V7" s="46"/>
      <c r="W7" s="46"/>
      <c r="X7" s="46"/>
      <c r="Y7" s="46"/>
      <c r="Z7" s="46"/>
      <c r="AA7" s="46"/>
      <c r="AB7" s="46"/>
      <c r="AC7" s="46"/>
      <c r="AD7" s="46"/>
      <c r="AE7" s="47"/>
      <c r="AF7" s="23"/>
      <c r="AG7" s="23"/>
    </row>
    <row r="8" spans="1:33" x14ac:dyDescent="0.25">
      <c r="A8" s="32">
        <v>5</v>
      </c>
      <c r="B8" s="42" t="s">
        <v>70</v>
      </c>
      <c r="C8" s="39" t="s">
        <v>71</v>
      </c>
      <c r="D8" s="39" t="s">
        <v>72</v>
      </c>
      <c r="E8" s="39" t="s">
        <v>51</v>
      </c>
      <c r="F8" s="40" t="s">
        <v>52</v>
      </c>
      <c r="G8" s="40">
        <v>30066</v>
      </c>
      <c r="H8" s="42" t="s">
        <v>73</v>
      </c>
      <c r="I8" s="43" t="s">
        <v>60</v>
      </c>
      <c r="J8" s="71">
        <v>177209</v>
      </c>
      <c r="K8" s="23"/>
      <c r="L8" s="45"/>
      <c r="M8" s="48" t="s">
        <v>40</v>
      </c>
      <c r="N8" s="46"/>
      <c r="O8" s="46"/>
      <c r="P8" s="49" t="str">
        <f ca="1">CELL("contents",INDEX(C:C,COUNTA(C:C)+2))</f>
        <v>Carlton</v>
      </c>
      <c r="Q8" s="50"/>
      <c r="R8" s="50"/>
      <c r="S8" s="50"/>
      <c r="T8" s="50"/>
      <c r="U8" s="51"/>
      <c r="V8" s="46"/>
      <c r="W8" s="52" t="s">
        <v>43</v>
      </c>
      <c r="X8" s="46"/>
      <c r="Y8" s="49" t="str">
        <f ca="1">CELL("contents",INDEX(F:F,COUNTA(F:F)+2))</f>
        <v xml:space="preserve">GA </v>
      </c>
      <c r="Z8" s="50"/>
      <c r="AA8" s="50"/>
      <c r="AB8" s="50"/>
      <c r="AC8" s="50"/>
      <c r="AD8" s="51"/>
      <c r="AE8" s="47"/>
      <c r="AF8" s="23"/>
      <c r="AG8" s="23"/>
    </row>
    <row r="9" spans="1:33" x14ac:dyDescent="0.25">
      <c r="A9" s="32">
        <v>6</v>
      </c>
      <c r="B9" s="39" t="s">
        <v>74</v>
      </c>
      <c r="C9" s="39" t="s">
        <v>75</v>
      </c>
      <c r="D9" s="39" t="s">
        <v>76</v>
      </c>
      <c r="E9" s="39" t="s">
        <v>77</v>
      </c>
      <c r="F9" s="40" t="s">
        <v>52</v>
      </c>
      <c r="G9" s="40">
        <v>30092</v>
      </c>
      <c r="H9" s="42" t="s">
        <v>78</v>
      </c>
      <c r="I9" s="43" t="s">
        <v>65</v>
      </c>
      <c r="J9" s="71">
        <v>212254.23</v>
      </c>
      <c r="K9" s="23"/>
      <c r="L9" s="45"/>
      <c r="M9" s="46"/>
      <c r="N9" s="46"/>
      <c r="O9" s="46"/>
      <c r="P9" s="46"/>
      <c r="Q9" s="46"/>
      <c r="R9" s="46"/>
      <c r="S9" s="46"/>
      <c r="T9" s="46"/>
      <c r="U9" s="46"/>
      <c r="V9" s="46"/>
      <c r="W9" s="46"/>
      <c r="X9" s="46"/>
      <c r="Y9" s="46"/>
      <c r="Z9" s="46"/>
      <c r="AA9" s="46"/>
      <c r="AB9" s="46"/>
      <c r="AC9" s="46"/>
      <c r="AD9" s="46"/>
      <c r="AE9" s="47"/>
      <c r="AF9" s="23"/>
      <c r="AG9" s="23"/>
    </row>
    <row r="10" spans="1:33" x14ac:dyDescent="0.25">
      <c r="A10" s="32">
        <v>7</v>
      </c>
      <c r="B10" s="39" t="s">
        <v>79</v>
      </c>
      <c r="C10" s="39" t="s">
        <v>80</v>
      </c>
      <c r="D10" s="39" t="s">
        <v>50</v>
      </c>
      <c r="E10" s="39" t="s">
        <v>81</v>
      </c>
      <c r="F10" s="40" t="s">
        <v>82</v>
      </c>
      <c r="G10" s="40">
        <v>30092</v>
      </c>
      <c r="H10" s="42" t="s">
        <v>53</v>
      </c>
      <c r="I10" s="43" t="s">
        <v>54</v>
      </c>
      <c r="J10" s="71">
        <v>124533.45</v>
      </c>
      <c r="K10" s="23"/>
      <c r="L10" s="45"/>
      <c r="M10" s="48" t="s">
        <v>41</v>
      </c>
      <c r="N10" s="46"/>
      <c r="O10" s="46"/>
      <c r="P10" s="49" t="str">
        <f ca="1">CELL("contents",INDEX(D:D,COUNTA(D:D)+2))</f>
        <v>100 Peachtree Street</v>
      </c>
      <c r="Q10" s="50"/>
      <c r="R10" s="50"/>
      <c r="S10" s="50"/>
      <c r="T10" s="50"/>
      <c r="U10" s="51"/>
      <c r="V10" s="46"/>
      <c r="W10" s="52" t="s">
        <v>44</v>
      </c>
      <c r="X10" s="46"/>
      <c r="Y10" s="262" t="str">
        <f ca="1">TEXT(CELL("contents",INDEX(G:G,COUNTA(G:G)+2)),"#####")</f>
        <v>30092</v>
      </c>
      <c r="Z10" s="263"/>
      <c r="AA10" s="263"/>
      <c r="AB10" s="263"/>
      <c r="AC10" s="263"/>
      <c r="AD10" s="264"/>
      <c r="AE10" s="47"/>
      <c r="AF10" s="23"/>
      <c r="AG10" s="23"/>
    </row>
    <row r="11" spans="1:33" x14ac:dyDescent="0.25">
      <c r="A11" s="32">
        <v>8</v>
      </c>
      <c r="B11" s="39"/>
      <c r="C11" s="39"/>
      <c r="D11" s="39"/>
      <c r="E11" s="39"/>
      <c r="F11" s="39"/>
      <c r="G11" s="39"/>
      <c r="H11" s="39"/>
      <c r="I11" s="40"/>
      <c r="J11" s="39"/>
      <c r="K11" s="23"/>
      <c r="L11" s="45"/>
      <c r="M11" s="46"/>
      <c r="N11" s="46"/>
      <c r="O11" s="46"/>
      <c r="P11" s="46"/>
      <c r="Q11" s="46"/>
      <c r="R11" s="46"/>
      <c r="S11" s="46"/>
      <c r="T11" s="46"/>
      <c r="U11" s="46"/>
      <c r="V11" s="46"/>
      <c r="W11" s="46"/>
      <c r="X11" s="46"/>
      <c r="Y11" s="46"/>
      <c r="Z11" s="46"/>
      <c r="AA11" s="46"/>
      <c r="AB11" s="46"/>
      <c r="AC11" s="46"/>
      <c r="AD11" s="46"/>
      <c r="AE11" s="47"/>
      <c r="AF11" s="23"/>
      <c r="AG11" s="23"/>
    </row>
    <row r="12" spans="1:33" x14ac:dyDescent="0.25">
      <c r="A12" s="32">
        <v>9</v>
      </c>
      <c r="B12" s="39"/>
      <c r="C12" s="39"/>
      <c r="D12" s="39"/>
      <c r="E12" s="39"/>
      <c r="F12" s="39"/>
      <c r="G12" s="39"/>
      <c r="H12" s="39"/>
      <c r="I12" s="40"/>
      <c r="J12" s="39"/>
      <c r="K12" s="23"/>
      <c r="L12" s="45"/>
      <c r="M12" s="52" t="s">
        <v>45</v>
      </c>
      <c r="N12" s="46"/>
      <c r="O12" s="46"/>
      <c r="P12" s="223" t="str">
        <f ca="1">CELL("contents",INDEX(H:H,COUNTA(H:H)+2))</f>
        <v>770.842.5902</v>
      </c>
      <c r="Q12" s="260"/>
      <c r="R12" s="260"/>
      <c r="S12" s="260"/>
      <c r="T12" s="260"/>
      <c r="U12" s="261"/>
      <c r="V12" s="46"/>
      <c r="W12" s="60" t="s">
        <v>99</v>
      </c>
      <c r="X12" s="46"/>
      <c r="Y12" s="49" t="str">
        <f ca="1">CELL("contents",INDEX(I:I,COUNTA(I:I)+2))</f>
        <v>Plan A</v>
      </c>
      <c r="Z12" s="50"/>
      <c r="AA12" s="50"/>
      <c r="AB12" s="50"/>
      <c r="AC12" s="50"/>
      <c r="AD12" s="51"/>
      <c r="AE12" s="47"/>
      <c r="AF12" s="23"/>
      <c r="AG12" s="23"/>
    </row>
    <row r="13" spans="1:33" x14ac:dyDescent="0.25">
      <c r="A13" s="32">
        <v>10</v>
      </c>
      <c r="B13" s="39"/>
      <c r="C13" s="39"/>
      <c r="D13" s="39"/>
      <c r="E13" s="39"/>
      <c r="F13" s="39"/>
      <c r="G13" s="39"/>
      <c r="H13" s="39"/>
      <c r="I13" s="40"/>
      <c r="J13" s="39"/>
      <c r="K13" s="23"/>
      <c r="L13" s="45"/>
      <c r="M13" s="46"/>
      <c r="N13" s="46"/>
      <c r="O13" s="46"/>
      <c r="P13" s="46"/>
      <c r="Q13" s="46"/>
      <c r="R13" s="46"/>
      <c r="S13" s="46"/>
      <c r="T13" s="46"/>
      <c r="U13" s="46"/>
      <c r="V13" s="46"/>
      <c r="W13" s="46"/>
      <c r="X13" s="46"/>
      <c r="Y13" s="46"/>
      <c r="Z13" s="46"/>
      <c r="AA13" s="46"/>
      <c r="AB13" s="46"/>
      <c r="AC13" s="46"/>
      <c r="AD13" s="46"/>
      <c r="AE13" s="47"/>
      <c r="AF13" s="23"/>
      <c r="AG13" s="23"/>
    </row>
    <row r="14" spans="1:33" x14ac:dyDescent="0.25">
      <c r="A14" s="32">
        <v>11</v>
      </c>
      <c r="B14" s="39"/>
      <c r="C14" s="39"/>
      <c r="D14" s="39"/>
      <c r="E14" s="39"/>
      <c r="F14" s="39"/>
      <c r="G14" s="39"/>
      <c r="H14" s="39"/>
      <c r="I14" s="40"/>
      <c r="J14" s="39"/>
      <c r="K14" s="23"/>
      <c r="L14" s="45"/>
      <c r="M14" s="52" t="s">
        <v>90</v>
      </c>
      <c r="N14" s="46"/>
      <c r="O14" s="46"/>
      <c r="P14" s="46"/>
      <c r="Q14" s="46"/>
      <c r="R14" s="46"/>
      <c r="S14" s="46"/>
      <c r="T14" s="46"/>
      <c r="U14" s="46"/>
      <c r="V14" s="46"/>
      <c r="W14" s="46"/>
      <c r="X14" s="46"/>
      <c r="Y14" s="49" t="str">
        <f ca="1">TEXT(CELL("contents",INDEX(J:J,COUNTA(J:J)+2)),"$#,###.##")</f>
        <v>$124,533.45</v>
      </c>
      <c r="Z14" s="50"/>
      <c r="AA14" s="50"/>
      <c r="AB14" s="50"/>
      <c r="AC14" s="50"/>
      <c r="AD14" s="51"/>
      <c r="AE14" s="47"/>
      <c r="AF14" s="23"/>
      <c r="AG14" s="23"/>
    </row>
    <row r="15" spans="1:33" x14ac:dyDescent="0.25">
      <c r="A15" s="32">
        <v>12</v>
      </c>
      <c r="B15" s="39"/>
      <c r="C15" s="39"/>
      <c r="D15" s="39"/>
      <c r="E15" s="39"/>
      <c r="F15" s="39"/>
      <c r="G15" s="39"/>
      <c r="H15" s="39"/>
      <c r="I15" s="40"/>
      <c r="J15" s="39"/>
      <c r="K15" s="23"/>
      <c r="L15" s="45"/>
      <c r="M15" s="46"/>
      <c r="N15" s="46"/>
      <c r="O15" s="46"/>
      <c r="P15" s="46"/>
      <c r="Q15" s="46"/>
      <c r="R15" s="46"/>
      <c r="S15" s="46"/>
      <c r="T15" s="46"/>
      <c r="U15" s="46"/>
      <c r="V15" s="46"/>
      <c r="W15" s="46"/>
      <c r="X15" s="46"/>
      <c r="Y15" s="46"/>
      <c r="Z15" s="46"/>
      <c r="AA15" s="46"/>
      <c r="AB15" s="46"/>
      <c r="AC15" s="46"/>
      <c r="AD15" s="46"/>
      <c r="AE15" s="47"/>
      <c r="AF15" s="23"/>
      <c r="AG15" s="23"/>
    </row>
    <row r="16" spans="1:33" x14ac:dyDescent="0.25">
      <c r="A16" s="32">
        <v>13</v>
      </c>
      <c r="B16" s="39"/>
      <c r="C16" s="39"/>
      <c r="D16" s="39"/>
      <c r="E16" s="39"/>
      <c r="F16" s="39"/>
      <c r="G16" s="39"/>
      <c r="H16" s="39"/>
      <c r="I16" s="40"/>
      <c r="J16" s="39"/>
      <c r="K16" s="23"/>
      <c r="L16" s="303" t="s">
        <v>91</v>
      </c>
      <c r="M16" s="304"/>
      <c r="N16" s="304"/>
      <c r="O16" s="304"/>
      <c r="P16" s="304"/>
      <c r="Q16" s="304"/>
      <c r="R16" s="304"/>
      <c r="S16" s="304"/>
      <c r="T16" s="304"/>
      <c r="U16" s="304"/>
      <c r="V16" s="304"/>
      <c r="W16" s="304"/>
      <c r="X16" s="304"/>
      <c r="Y16" s="304"/>
      <c r="Z16" s="304"/>
      <c r="AA16" s="304"/>
      <c r="AB16" s="304"/>
      <c r="AC16" s="304"/>
      <c r="AD16" s="304"/>
      <c r="AE16" s="305"/>
      <c r="AF16" s="23"/>
      <c r="AG16" s="23"/>
    </row>
    <row r="17" spans="1:33" ht="16.5" thickBot="1" x14ac:dyDescent="0.3">
      <c r="A17" s="32">
        <v>14</v>
      </c>
      <c r="B17" s="39"/>
      <c r="C17" s="39"/>
      <c r="D17" s="39"/>
      <c r="E17" s="39"/>
      <c r="F17" s="39"/>
      <c r="G17" s="39"/>
      <c r="H17" s="39"/>
      <c r="I17" s="40"/>
      <c r="J17" s="39"/>
      <c r="K17" s="23"/>
      <c r="L17" s="61"/>
      <c r="M17" s="62"/>
      <c r="N17" s="62"/>
      <c r="O17" s="62"/>
      <c r="P17" s="62"/>
      <c r="Q17" s="62"/>
      <c r="R17" s="62"/>
      <c r="S17" s="62"/>
      <c r="T17" s="62"/>
      <c r="U17" s="62"/>
      <c r="V17" s="62"/>
      <c r="W17" s="62"/>
      <c r="X17" s="62"/>
      <c r="Y17" s="62"/>
      <c r="Z17" s="62"/>
      <c r="AA17" s="62"/>
      <c r="AB17" s="62"/>
      <c r="AC17" s="62"/>
      <c r="AD17" s="62"/>
      <c r="AE17" s="63"/>
      <c r="AF17" s="23"/>
      <c r="AG17" s="23"/>
    </row>
    <row r="18" spans="1:33" x14ac:dyDescent="0.25">
      <c r="A18" s="32">
        <v>15</v>
      </c>
      <c r="B18" s="39"/>
      <c r="C18" s="39"/>
      <c r="D18" s="39"/>
      <c r="E18" s="39"/>
      <c r="F18" s="39"/>
      <c r="G18" s="39"/>
      <c r="H18" s="39"/>
      <c r="I18" s="40"/>
      <c r="J18" s="39"/>
      <c r="K18" s="23"/>
      <c r="L18" s="23"/>
      <c r="M18" s="23"/>
      <c r="N18" s="23"/>
      <c r="O18" s="23"/>
      <c r="P18" s="23"/>
      <c r="Q18" s="23"/>
      <c r="R18" s="23"/>
      <c r="S18" s="23"/>
      <c r="T18" s="23"/>
      <c r="U18" s="23"/>
      <c r="V18" s="23"/>
      <c r="W18" s="23"/>
      <c r="X18" s="23"/>
      <c r="Y18" s="23"/>
      <c r="Z18" s="23"/>
      <c r="AA18" s="23"/>
      <c r="AB18" s="23"/>
      <c r="AC18" s="23"/>
      <c r="AD18" s="23"/>
      <c r="AE18" s="23"/>
      <c r="AF18" s="23"/>
      <c r="AG18" s="23"/>
    </row>
    <row r="19" spans="1:33" x14ac:dyDescent="0.25">
      <c r="A19" s="32">
        <v>16</v>
      </c>
      <c r="B19" s="39"/>
      <c r="C19" s="39"/>
      <c r="D19" s="39"/>
      <c r="E19" s="39"/>
      <c r="F19" s="39"/>
      <c r="G19" s="39"/>
      <c r="H19" s="39"/>
      <c r="I19" s="40"/>
      <c r="J19" s="39"/>
      <c r="K19" s="23"/>
      <c r="L19" s="23"/>
      <c r="M19" s="23"/>
      <c r="N19" s="23"/>
      <c r="O19" s="23"/>
      <c r="P19" s="23"/>
      <c r="Q19" s="23"/>
      <c r="R19" s="23"/>
      <c r="S19" s="23"/>
      <c r="T19" s="23"/>
      <c r="U19" s="23"/>
      <c r="V19" s="23"/>
      <c r="W19" s="23"/>
      <c r="X19" s="23"/>
      <c r="Y19" s="23"/>
      <c r="Z19" s="23"/>
      <c r="AA19" s="23"/>
      <c r="AB19" s="23"/>
      <c r="AC19" s="23"/>
      <c r="AD19" s="23"/>
      <c r="AE19" s="23"/>
      <c r="AF19" s="23"/>
      <c r="AG19" s="23"/>
    </row>
    <row r="20" spans="1:33" x14ac:dyDescent="0.25">
      <c r="A20" s="32">
        <v>17</v>
      </c>
      <c r="B20" s="39"/>
      <c r="C20" s="39"/>
      <c r="D20" s="39"/>
      <c r="E20" s="39"/>
      <c r="F20" s="39"/>
      <c r="G20" s="39"/>
      <c r="H20" s="39"/>
      <c r="I20" s="40"/>
      <c r="J20" s="39"/>
      <c r="K20" s="23"/>
      <c r="L20" s="23"/>
      <c r="M20" s="23"/>
      <c r="N20" s="23"/>
      <c r="O20" s="23"/>
      <c r="P20" s="23"/>
      <c r="Q20" s="23"/>
      <c r="R20" s="23"/>
      <c r="S20" s="23"/>
      <c r="T20" s="23"/>
      <c r="U20" s="23"/>
      <c r="V20" s="23"/>
      <c r="W20" s="23"/>
      <c r="X20" s="23"/>
      <c r="Y20" s="23"/>
      <c r="Z20" s="23"/>
      <c r="AA20" s="23"/>
      <c r="AB20" s="23"/>
      <c r="AC20" s="23"/>
      <c r="AD20" s="23"/>
      <c r="AE20" s="23"/>
      <c r="AF20" s="23"/>
      <c r="AG20" s="23"/>
    </row>
    <row r="21" spans="1:33" x14ac:dyDescent="0.25">
      <c r="A21" s="32">
        <v>18</v>
      </c>
      <c r="B21" s="39"/>
      <c r="C21" s="39"/>
      <c r="D21" s="39"/>
      <c r="E21" s="39"/>
      <c r="F21" s="39"/>
      <c r="G21" s="39"/>
      <c r="H21" s="39"/>
      <c r="I21" s="40"/>
      <c r="J21" s="39"/>
      <c r="K21" s="23"/>
      <c r="L21" s="23"/>
      <c r="M21" s="23"/>
      <c r="N21" s="23"/>
      <c r="O21" s="23"/>
      <c r="P21" s="23"/>
      <c r="Q21" s="23"/>
      <c r="R21" s="23"/>
      <c r="S21" s="23"/>
      <c r="T21" s="23"/>
      <c r="U21" s="23"/>
      <c r="V21" s="23"/>
      <c r="W21" s="23"/>
      <c r="X21" s="23"/>
      <c r="Y21" s="23"/>
      <c r="Z21" s="23"/>
      <c r="AA21" s="23"/>
      <c r="AB21" s="23"/>
      <c r="AC21" s="23"/>
      <c r="AD21" s="23"/>
      <c r="AE21" s="23"/>
      <c r="AF21" s="23"/>
      <c r="AG21" s="23"/>
    </row>
    <row r="22" spans="1:33" x14ac:dyDescent="0.25">
      <c r="A22" s="32">
        <v>19</v>
      </c>
      <c r="B22" s="39"/>
      <c r="C22" s="39"/>
      <c r="D22" s="39"/>
      <c r="E22" s="39"/>
      <c r="F22" s="39"/>
      <c r="G22" s="39"/>
      <c r="H22" s="39"/>
      <c r="I22" s="40"/>
      <c r="J22" s="39"/>
      <c r="K22" s="23"/>
      <c r="L22" s="23"/>
      <c r="M22" s="23"/>
      <c r="N22" s="23"/>
      <c r="O22" s="23"/>
      <c r="P22" s="23"/>
      <c r="Q22" s="23"/>
      <c r="R22" s="23"/>
      <c r="S22" s="23"/>
      <c r="T22" s="23"/>
      <c r="U22" s="23"/>
      <c r="V22" s="23"/>
      <c r="W22" s="23"/>
      <c r="X22" s="23"/>
      <c r="Y22" s="23"/>
      <c r="Z22" s="23"/>
      <c r="AA22" s="23"/>
      <c r="AB22" s="23"/>
      <c r="AC22" s="23"/>
      <c r="AD22" s="23"/>
      <c r="AE22" s="23"/>
      <c r="AF22" s="23"/>
      <c r="AG22" s="23"/>
    </row>
    <row r="23" spans="1:33" x14ac:dyDescent="0.25">
      <c r="A23" s="32">
        <v>20</v>
      </c>
      <c r="B23" s="39"/>
      <c r="C23" s="39"/>
      <c r="D23" s="39"/>
      <c r="E23" s="39"/>
      <c r="F23" s="39"/>
      <c r="G23" s="39"/>
      <c r="H23" s="39"/>
      <c r="I23" s="40"/>
      <c r="J23" s="39"/>
      <c r="K23" s="23"/>
      <c r="L23" s="23"/>
      <c r="M23" s="23"/>
      <c r="N23" s="23"/>
      <c r="O23" s="23"/>
      <c r="P23" s="23"/>
      <c r="Q23" s="23"/>
      <c r="R23" s="23"/>
      <c r="S23" s="23"/>
      <c r="T23" s="23"/>
      <c r="U23" s="23"/>
      <c r="V23" s="23"/>
      <c r="W23" s="23"/>
      <c r="X23" s="23"/>
      <c r="Y23" s="23"/>
      <c r="Z23" s="23"/>
      <c r="AA23" s="23"/>
      <c r="AB23" s="23"/>
      <c r="AC23" s="23"/>
      <c r="AD23" s="23"/>
      <c r="AE23" s="23"/>
      <c r="AF23" s="23"/>
      <c r="AG23" s="23"/>
    </row>
    <row r="24" spans="1:33" x14ac:dyDescent="0.25">
      <c r="A24" s="32">
        <v>21</v>
      </c>
      <c r="B24" s="39"/>
      <c r="C24" s="39"/>
      <c r="D24" s="39"/>
      <c r="E24" s="39"/>
      <c r="F24" s="39"/>
      <c r="G24" s="39"/>
      <c r="H24" s="39"/>
      <c r="I24" s="40"/>
      <c r="J24" s="39"/>
      <c r="K24" s="23"/>
      <c r="L24" s="23"/>
      <c r="M24" s="23"/>
      <c r="N24" s="23"/>
      <c r="O24" s="23"/>
      <c r="P24" s="23"/>
      <c r="Q24" s="23"/>
      <c r="R24" s="23"/>
      <c r="S24" s="23"/>
      <c r="T24" s="23"/>
      <c r="U24" s="23"/>
      <c r="V24" s="23"/>
      <c r="W24" s="23"/>
      <c r="X24" s="23"/>
      <c r="Y24" s="23"/>
      <c r="Z24" s="23"/>
      <c r="AA24" s="23"/>
      <c r="AB24" s="23"/>
      <c r="AC24" s="23"/>
      <c r="AD24" s="23"/>
      <c r="AE24" s="23"/>
      <c r="AF24" s="23"/>
      <c r="AG24" s="23"/>
    </row>
    <row r="25" spans="1:33" x14ac:dyDescent="0.25">
      <c r="A25" s="32">
        <v>22</v>
      </c>
      <c r="B25" s="39"/>
      <c r="C25" s="39"/>
      <c r="D25" s="39"/>
      <c r="E25" s="39"/>
      <c r="F25" s="39"/>
      <c r="G25" s="39"/>
      <c r="H25" s="39"/>
      <c r="I25" s="40"/>
      <c r="J25" s="39"/>
      <c r="K25" s="23"/>
      <c r="L25" s="23"/>
      <c r="M25" s="23"/>
      <c r="N25" s="23"/>
      <c r="O25" s="23"/>
      <c r="P25" s="23"/>
      <c r="Q25" s="23"/>
      <c r="R25" s="23"/>
      <c r="S25" s="23"/>
      <c r="T25" s="23"/>
      <c r="U25" s="23"/>
      <c r="V25" s="23"/>
      <c r="W25" s="23"/>
      <c r="X25" s="23"/>
      <c r="Y25" s="23"/>
      <c r="Z25" s="23"/>
      <c r="AA25" s="23"/>
      <c r="AB25" s="23"/>
      <c r="AC25" s="23"/>
      <c r="AD25" s="23"/>
      <c r="AE25" s="23"/>
      <c r="AF25" s="23"/>
      <c r="AG25" s="23"/>
    </row>
    <row r="26" spans="1:33" x14ac:dyDescent="0.25">
      <c r="A26" s="32">
        <v>23</v>
      </c>
      <c r="B26" s="39"/>
      <c r="C26" s="39"/>
      <c r="D26" s="39"/>
      <c r="E26" s="39"/>
      <c r="F26" s="39"/>
      <c r="G26" s="39"/>
      <c r="H26" s="39"/>
      <c r="I26" s="40"/>
      <c r="J26" s="39"/>
      <c r="K26" s="23"/>
      <c r="L26" s="23"/>
      <c r="M26" s="23"/>
      <c r="N26" s="23"/>
      <c r="O26" s="23"/>
      <c r="P26" s="23"/>
      <c r="Q26" s="23"/>
      <c r="R26" s="23"/>
      <c r="S26" s="23"/>
      <c r="T26" s="23"/>
      <c r="U26" s="23"/>
      <c r="V26" s="23"/>
      <c r="W26" s="23"/>
      <c r="X26" s="23"/>
      <c r="Y26" s="23"/>
      <c r="Z26" s="23"/>
      <c r="AA26" s="23"/>
      <c r="AB26" s="23"/>
      <c r="AC26" s="23"/>
      <c r="AD26" s="23"/>
      <c r="AE26" s="23"/>
      <c r="AF26" s="23"/>
      <c r="AG26" s="23"/>
    </row>
    <row r="27" spans="1:33" x14ac:dyDescent="0.25">
      <c r="A27" s="32">
        <v>24</v>
      </c>
      <c r="B27" s="39"/>
      <c r="C27" s="39"/>
      <c r="D27" s="39"/>
      <c r="E27" s="39"/>
      <c r="F27" s="39"/>
      <c r="G27" s="39"/>
      <c r="H27" s="39"/>
      <c r="I27" s="40"/>
      <c r="J27" s="39"/>
      <c r="K27" s="23"/>
      <c r="L27" s="23"/>
      <c r="M27" s="23"/>
      <c r="N27" s="23"/>
      <c r="O27" s="23"/>
      <c r="P27" s="23"/>
      <c r="Q27" s="23"/>
      <c r="R27" s="23"/>
      <c r="S27" s="23"/>
      <c r="T27" s="23"/>
      <c r="U27" s="23"/>
      <c r="V27" s="23"/>
      <c r="W27" s="23"/>
      <c r="X27" s="23"/>
      <c r="Y27" s="23"/>
      <c r="Z27" s="23"/>
      <c r="AA27" s="23"/>
      <c r="AB27" s="23"/>
      <c r="AC27" s="23"/>
      <c r="AD27" s="23"/>
      <c r="AE27" s="23"/>
      <c r="AF27" s="23"/>
      <c r="AG27" s="23"/>
    </row>
    <row r="28" spans="1:33" x14ac:dyDescent="0.25">
      <c r="A28" s="32">
        <v>25</v>
      </c>
      <c r="B28" s="39"/>
      <c r="C28" s="39"/>
      <c r="D28" s="39"/>
      <c r="E28" s="39"/>
      <c r="F28" s="39"/>
      <c r="G28" s="39"/>
      <c r="H28" s="39"/>
      <c r="I28" s="40"/>
      <c r="J28" s="39"/>
      <c r="K28" s="23"/>
      <c r="L28" s="23"/>
      <c r="M28" s="23"/>
      <c r="N28" s="23"/>
      <c r="O28" s="23"/>
      <c r="P28" s="23"/>
      <c r="Q28" s="23"/>
      <c r="R28" s="23"/>
      <c r="S28" s="23"/>
      <c r="T28" s="23"/>
      <c r="U28" s="23"/>
      <c r="V28" s="23"/>
      <c r="W28" s="23"/>
      <c r="X28" s="23"/>
      <c r="Y28" s="23"/>
      <c r="Z28" s="23"/>
      <c r="AA28" s="23"/>
      <c r="AB28" s="23"/>
      <c r="AC28" s="23"/>
      <c r="AD28" s="23"/>
      <c r="AE28" s="23"/>
      <c r="AF28" s="23"/>
      <c r="AG28" s="23"/>
    </row>
  </sheetData>
  <mergeCells count="2">
    <mergeCell ref="L4:AE4"/>
    <mergeCell ref="L16:AE16"/>
  </mergeCells>
  <pageMargins left="0.7" right="0.7" top="0.75" bottom="0.75" header="0.3" footer="0.3"/>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AG29"/>
  <sheetViews>
    <sheetView showGridLines="0" workbookViewId="0">
      <selection activeCell="Q1" sqref="Q1"/>
    </sheetView>
  </sheetViews>
  <sheetFormatPr defaultRowHeight="15.75" x14ac:dyDescent="0.25"/>
  <cols>
    <col min="1" max="1" width="7.875" bestFit="1" customWidth="1"/>
    <col min="2" max="3" width="10" bestFit="1" customWidth="1"/>
    <col min="4" max="4" width="19" bestFit="1" customWidth="1"/>
    <col min="5" max="5" width="8.375" bestFit="1" customWidth="1"/>
    <col min="6" max="6" width="5.375" bestFit="1" customWidth="1"/>
    <col min="7" max="7" width="5.875" bestFit="1" customWidth="1"/>
    <col min="8" max="8" width="11.875" bestFit="1" customWidth="1"/>
    <col min="9" max="9" width="11.875" customWidth="1"/>
    <col min="10" max="10" width="12.125" bestFit="1" customWidth="1"/>
    <col min="11" max="11" width="3.75" customWidth="1"/>
    <col min="12" max="31" width="3.625" customWidth="1"/>
    <col min="32" max="32" width="3" customWidth="1"/>
  </cols>
  <sheetData>
    <row r="1" spans="1:33" x14ac:dyDescent="0.25">
      <c r="A1" s="16"/>
      <c r="B1" s="16"/>
      <c r="C1" s="16"/>
      <c r="D1" s="16"/>
      <c r="E1" s="16"/>
      <c r="F1" s="16"/>
      <c r="G1" s="16"/>
      <c r="H1" s="16"/>
      <c r="I1" s="16"/>
      <c r="J1" s="16"/>
      <c r="K1" s="16"/>
      <c r="L1" s="16"/>
      <c r="M1" s="16"/>
      <c r="N1" s="16"/>
      <c r="O1" s="16"/>
      <c r="P1" s="16"/>
      <c r="Q1" s="16"/>
      <c r="R1" s="16"/>
      <c r="S1" s="17">
        <f t="shared" ref="S1:AB1" si="0">VLOOKUP(MAX($A$3:$A$147),$A$3:$H$147,2)</f>
        <v>0</v>
      </c>
      <c r="T1" s="17">
        <f t="shared" si="0"/>
        <v>0</v>
      </c>
      <c r="U1" s="17">
        <f t="shared" si="0"/>
        <v>0</v>
      </c>
      <c r="V1" s="17">
        <f t="shared" si="0"/>
        <v>0</v>
      </c>
      <c r="W1" s="17">
        <f t="shared" si="0"/>
        <v>0</v>
      </c>
      <c r="X1" s="17">
        <f t="shared" si="0"/>
        <v>0</v>
      </c>
      <c r="Y1" s="17">
        <f t="shared" si="0"/>
        <v>0</v>
      </c>
      <c r="Z1" s="17">
        <f t="shared" si="0"/>
        <v>0</v>
      </c>
      <c r="AA1" s="17">
        <f t="shared" si="0"/>
        <v>0</v>
      </c>
      <c r="AB1" s="17">
        <f t="shared" si="0"/>
        <v>0</v>
      </c>
      <c r="AC1" s="18"/>
      <c r="AD1" s="18"/>
      <c r="AE1" s="18"/>
      <c r="AF1" s="18"/>
      <c r="AG1" s="18"/>
    </row>
    <row r="2" spans="1:33" ht="16.5" thickBot="1" x14ac:dyDescent="0.3">
      <c r="A2" s="73"/>
      <c r="B2" s="20"/>
      <c r="C2" s="20"/>
      <c r="D2" s="20"/>
      <c r="E2" s="20"/>
      <c r="F2" s="20"/>
      <c r="G2" s="20"/>
      <c r="H2" s="20"/>
      <c r="I2" s="22"/>
      <c r="J2" s="20"/>
      <c r="K2" s="23"/>
      <c r="L2" s="23"/>
      <c r="M2" s="23"/>
      <c r="N2" s="23"/>
      <c r="O2" s="23"/>
      <c r="P2" s="23"/>
      <c r="Q2" s="23"/>
      <c r="R2" s="23"/>
      <c r="S2" s="23"/>
      <c r="T2" s="23"/>
      <c r="U2" s="23"/>
      <c r="V2" s="23"/>
      <c r="W2" s="23"/>
      <c r="X2" s="23"/>
      <c r="Y2" s="23"/>
      <c r="Z2" s="23"/>
      <c r="AA2" s="23"/>
      <c r="AB2" s="23"/>
      <c r="AC2" s="23"/>
      <c r="AD2" s="23"/>
      <c r="AE2" s="23"/>
      <c r="AF2" s="23"/>
      <c r="AG2" s="23"/>
    </row>
    <row r="3" spans="1:33" x14ac:dyDescent="0.25">
      <c r="A3" s="68" t="s">
        <v>38</v>
      </c>
      <c r="B3" s="69" t="s">
        <v>39</v>
      </c>
      <c r="C3" s="69" t="s">
        <v>40</v>
      </c>
      <c r="D3" s="69" t="s">
        <v>41</v>
      </c>
      <c r="E3" s="68" t="s">
        <v>42</v>
      </c>
      <c r="F3" s="68" t="s">
        <v>43</v>
      </c>
      <c r="G3" s="68" t="s">
        <v>44</v>
      </c>
      <c r="H3" s="68" t="s">
        <v>45</v>
      </c>
      <c r="I3" s="68" t="s">
        <v>46</v>
      </c>
      <c r="J3" s="68" t="s">
        <v>47</v>
      </c>
      <c r="K3" s="23"/>
      <c r="L3" s="29"/>
      <c r="M3" s="30"/>
      <c r="N3" s="30"/>
      <c r="O3" s="30"/>
      <c r="P3" s="30"/>
      <c r="Q3" s="30"/>
      <c r="R3" s="30"/>
      <c r="S3" s="30"/>
      <c r="T3" s="30"/>
      <c r="U3" s="30"/>
      <c r="V3" s="30"/>
      <c r="W3" s="30"/>
      <c r="X3" s="30"/>
      <c r="Y3" s="30"/>
      <c r="Z3" s="30"/>
      <c r="AA3" s="30"/>
      <c r="AB3" s="30"/>
      <c r="AC3" s="30"/>
      <c r="AD3" s="30"/>
      <c r="AE3" s="31"/>
      <c r="AF3" s="23"/>
      <c r="AG3" s="23"/>
    </row>
    <row r="4" spans="1:33" x14ac:dyDescent="0.25">
      <c r="A4" s="32">
        <v>1</v>
      </c>
      <c r="B4" s="33" t="s">
        <v>48</v>
      </c>
      <c r="C4" s="34" t="s">
        <v>49</v>
      </c>
      <c r="D4" s="34" t="s">
        <v>50</v>
      </c>
      <c r="E4" s="34" t="s">
        <v>51</v>
      </c>
      <c r="F4" s="35" t="s">
        <v>52</v>
      </c>
      <c r="G4" s="35">
        <v>30062</v>
      </c>
      <c r="H4" s="33" t="s">
        <v>53</v>
      </c>
      <c r="I4" s="37" t="s">
        <v>54</v>
      </c>
      <c r="J4" s="70">
        <v>157665</v>
      </c>
      <c r="K4" s="23"/>
      <c r="L4" s="300" t="s">
        <v>55</v>
      </c>
      <c r="M4" s="301"/>
      <c r="N4" s="301"/>
      <c r="O4" s="301"/>
      <c r="P4" s="301"/>
      <c r="Q4" s="301"/>
      <c r="R4" s="301"/>
      <c r="S4" s="301"/>
      <c r="T4" s="301"/>
      <c r="U4" s="301"/>
      <c r="V4" s="301"/>
      <c r="W4" s="301"/>
      <c r="X4" s="301"/>
      <c r="Y4" s="301"/>
      <c r="Z4" s="301"/>
      <c r="AA4" s="301"/>
      <c r="AB4" s="301"/>
      <c r="AC4" s="301"/>
      <c r="AD4" s="301"/>
      <c r="AE4" s="302"/>
      <c r="AF4" s="23"/>
      <c r="AG4" s="23"/>
    </row>
    <row r="5" spans="1:33" x14ac:dyDescent="0.25">
      <c r="A5" s="32">
        <v>2</v>
      </c>
      <c r="B5" s="39" t="s">
        <v>56</v>
      </c>
      <c r="C5" s="39" t="s">
        <v>57</v>
      </c>
      <c r="D5" s="39" t="s">
        <v>58</v>
      </c>
      <c r="E5" s="39" t="s">
        <v>51</v>
      </c>
      <c r="F5" s="40" t="s">
        <v>52</v>
      </c>
      <c r="G5" s="40">
        <v>30063</v>
      </c>
      <c r="H5" s="42" t="s">
        <v>59</v>
      </c>
      <c r="I5" s="43" t="s">
        <v>60</v>
      </c>
      <c r="J5" s="71">
        <v>156340</v>
      </c>
      <c r="K5" s="23"/>
      <c r="L5" s="45"/>
      <c r="M5" s="46"/>
      <c r="N5" s="46"/>
      <c r="O5" s="46"/>
      <c r="P5" s="46"/>
      <c r="Q5" s="46"/>
      <c r="R5" s="46"/>
      <c r="S5" s="46"/>
      <c r="T5" s="46"/>
      <c r="U5" s="46"/>
      <c r="V5" s="46"/>
      <c r="W5" s="46"/>
      <c r="X5" s="46"/>
      <c r="Y5" s="46"/>
      <c r="Z5" s="46"/>
      <c r="AA5" s="46"/>
      <c r="AB5" s="46"/>
      <c r="AC5" s="46"/>
      <c r="AD5" s="46"/>
      <c r="AE5" s="47"/>
      <c r="AF5" s="23"/>
      <c r="AG5" s="23"/>
    </row>
    <row r="6" spans="1:33" x14ac:dyDescent="0.25">
      <c r="A6" s="32">
        <v>3</v>
      </c>
      <c r="B6" s="39" t="s">
        <v>61</v>
      </c>
      <c r="C6" s="42" t="s">
        <v>62</v>
      </c>
      <c r="D6" s="39" t="s">
        <v>63</v>
      </c>
      <c r="E6" s="39" t="s">
        <v>51</v>
      </c>
      <c r="F6" s="40" t="s">
        <v>52</v>
      </c>
      <c r="G6" s="40">
        <v>30064</v>
      </c>
      <c r="H6" s="42" t="s">
        <v>64</v>
      </c>
      <c r="I6" s="43" t="s">
        <v>65</v>
      </c>
      <c r="J6" s="71">
        <v>81480</v>
      </c>
      <c r="K6" s="23"/>
      <c r="L6" s="45"/>
      <c r="M6" s="48" t="s">
        <v>39</v>
      </c>
      <c r="N6" s="46"/>
      <c r="O6" s="46"/>
      <c r="P6" s="223" t="str">
        <f ca="1">CELL("contents",INDEX(B:B,COUNTA(B:B)+2))</f>
        <v>Budaji</v>
      </c>
      <c r="Q6" s="260"/>
      <c r="R6" s="260"/>
      <c r="S6" s="260"/>
      <c r="T6" s="260"/>
      <c r="U6" s="261"/>
      <c r="V6" s="46"/>
      <c r="W6" s="52" t="s">
        <v>42</v>
      </c>
      <c r="X6" s="46"/>
      <c r="Y6" s="49" t="str">
        <f ca="1">OFFSET(INDEX(B:B,COUNTA(B:B)+2),0,3)</f>
        <v>Anytown</v>
      </c>
      <c r="Z6" s="50"/>
      <c r="AA6" s="50"/>
      <c r="AB6" s="50"/>
      <c r="AC6" s="50"/>
      <c r="AD6" s="51"/>
      <c r="AE6" s="47"/>
      <c r="AF6" s="23"/>
      <c r="AG6" s="23"/>
    </row>
    <row r="7" spans="1:33" x14ac:dyDescent="0.25">
      <c r="A7" s="32">
        <v>4</v>
      </c>
      <c r="B7" s="39" t="s">
        <v>66</v>
      </c>
      <c r="C7" s="42" t="s">
        <v>67</v>
      </c>
      <c r="D7" s="39" t="s">
        <v>68</v>
      </c>
      <c r="E7" s="39" t="s">
        <v>51</v>
      </c>
      <c r="F7" s="40" t="s">
        <v>52</v>
      </c>
      <c r="G7" s="40">
        <v>30065</v>
      </c>
      <c r="H7" s="42" t="s">
        <v>69</v>
      </c>
      <c r="I7" s="43" t="s">
        <v>54</v>
      </c>
      <c r="J7" s="71">
        <v>202578</v>
      </c>
      <c r="K7" s="23"/>
      <c r="L7" s="45"/>
      <c r="M7" s="46"/>
      <c r="N7" s="46"/>
      <c r="O7" s="46"/>
      <c r="P7" s="46"/>
      <c r="Q7" s="46"/>
      <c r="R7" s="46"/>
      <c r="S7" s="46"/>
      <c r="T7" s="46"/>
      <c r="U7" s="46"/>
      <c r="V7" s="46"/>
      <c r="W7" s="46"/>
      <c r="X7" s="46"/>
      <c r="Y7" s="46"/>
      <c r="Z7" s="46"/>
      <c r="AA7" s="46"/>
      <c r="AB7" s="46"/>
      <c r="AC7" s="46"/>
      <c r="AD7" s="46"/>
      <c r="AE7" s="47"/>
      <c r="AF7" s="23"/>
      <c r="AG7" s="23"/>
    </row>
    <row r="8" spans="1:33" x14ac:dyDescent="0.25">
      <c r="A8" s="32">
        <v>5</v>
      </c>
      <c r="B8" s="42" t="s">
        <v>70</v>
      </c>
      <c r="C8" s="39" t="s">
        <v>71</v>
      </c>
      <c r="D8" s="39" t="s">
        <v>72</v>
      </c>
      <c r="E8" s="39" t="s">
        <v>51</v>
      </c>
      <c r="F8" s="40" t="s">
        <v>52</v>
      </c>
      <c r="G8" s="40">
        <v>30066</v>
      </c>
      <c r="H8" s="42" t="s">
        <v>73</v>
      </c>
      <c r="I8" s="43" t="s">
        <v>60</v>
      </c>
      <c r="J8" s="71">
        <v>177209</v>
      </c>
      <c r="K8" s="23"/>
      <c r="L8" s="45"/>
      <c r="M8" s="48" t="s">
        <v>40</v>
      </c>
      <c r="N8" s="46"/>
      <c r="O8" s="46"/>
      <c r="P8" s="49" t="str">
        <f ca="1">OFFSET(INDEX(B:B,COUNTA(B:B)+2),0,1)</f>
        <v>Joseph</v>
      </c>
      <c r="Q8" s="50"/>
      <c r="R8" s="50"/>
      <c r="S8" s="50"/>
      <c r="T8" s="50"/>
      <c r="U8" s="51"/>
      <c r="V8" s="46"/>
      <c r="W8" s="52" t="s">
        <v>43</v>
      </c>
      <c r="X8" s="46"/>
      <c r="Y8" s="49" t="str">
        <f ca="1">OFFSET(INDEX(B:B,COUNTA(B:B)+2),0,4)</f>
        <v>OH</v>
      </c>
      <c r="Z8" s="50"/>
      <c r="AA8" s="50"/>
      <c r="AB8" s="50"/>
      <c r="AC8" s="50"/>
      <c r="AD8" s="51"/>
      <c r="AE8" s="47"/>
      <c r="AF8" s="23"/>
      <c r="AG8" s="23"/>
    </row>
    <row r="9" spans="1:33" x14ac:dyDescent="0.25">
      <c r="A9" s="32">
        <v>6</v>
      </c>
      <c r="B9" s="39" t="s">
        <v>74</v>
      </c>
      <c r="C9" s="39" t="s">
        <v>75</v>
      </c>
      <c r="D9" s="39" t="s">
        <v>76</v>
      </c>
      <c r="E9" s="39" t="s">
        <v>77</v>
      </c>
      <c r="F9" s="40" t="s">
        <v>52</v>
      </c>
      <c r="G9" s="40">
        <v>30092</v>
      </c>
      <c r="H9" s="42" t="s">
        <v>78</v>
      </c>
      <c r="I9" s="43" t="s">
        <v>65</v>
      </c>
      <c r="J9" s="71">
        <v>212254.23</v>
      </c>
      <c r="K9" s="23"/>
      <c r="L9" s="45"/>
      <c r="M9" s="46"/>
      <c r="N9" s="46"/>
      <c r="O9" s="46"/>
      <c r="P9" s="46"/>
      <c r="Q9" s="46"/>
      <c r="R9" s="46"/>
      <c r="S9" s="46"/>
      <c r="T9" s="46"/>
      <c r="U9" s="46"/>
      <c r="V9" s="46"/>
      <c r="W9" s="46"/>
      <c r="X9" s="46"/>
      <c r="Y9" s="46"/>
      <c r="Z9" s="46"/>
      <c r="AA9" s="46"/>
      <c r="AB9" s="46"/>
      <c r="AC9" s="46"/>
      <c r="AD9" s="46"/>
      <c r="AE9" s="47"/>
      <c r="AF9" s="23"/>
      <c r="AG9" s="23"/>
    </row>
    <row r="10" spans="1:33" x14ac:dyDescent="0.25">
      <c r="A10" s="32">
        <v>7</v>
      </c>
      <c r="B10" s="39" t="s">
        <v>79</v>
      </c>
      <c r="C10" s="39" t="s">
        <v>80</v>
      </c>
      <c r="D10" s="39" t="s">
        <v>50</v>
      </c>
      <c r="E10" s="39" t="s">
        <v>81</v>
      </c>
      <c r="F10" s="40" t="s">
        <v>82</v>
      </c>
      <c r="G10" s="40">
        <v>30092</v>
      </c>
      <c r="H10" s="42" t="s">
        <v>53</v>
      </c>
      <c r="I10" s="43" t="s">
        <v>54</v>
      </c>
      <c r="J10" s="71">
        <v>124533.45</v>
      </c>
      <c r="K10" s="23"/>
      <c r="L10" s="45"/>
      <c r="M10" s="48" t="s">
        <v>41</v>
      </c>
      <c r="N10" s="46"/>
      <c r="O10" s="46"/>
      <c r="P10" s="49" t="str">
        <f ca="1">OFFSET(INDEX(B:B,COUNTA(B:B)+2),0,2)</f>
        <v>123 Main St</v>
      </c>
      <c r="Q10" s="50"/>
      <c r="R10" s="50"/>
      <c r="S10" s="50"/>
      <c r="T10" s="50"/>
      <c r="U10" s="51"/>
      <c r="V10" s="46"/>
      <c r="W10" s="52" t="s">
        <v>44</v>
      </c>
      <c r="X10" s="46"/>
      <c r="Y10" s="262" t="str">
        <f ca="1">TEXT(OFFSET(INDEX(B:B,COUNTA(B:B)+2),0,5),"#####")</f>
        <v>12345</v>
      </c>
      <c r="Z10" s="263"/>
      <c r="AA10" s="263"/>
      <c r="AB10" s="263"/>
      <c r="AC10" s="263"/>
      <c r="AD10" s="264"/>
      <c r="AE10" s="47"/>
      <c r="AF10" s="23"/>
      <c r="AG10" s="23"/>
    </row>
    <row r="11" spans="1:33" x14ac:dyDescent="0.25">
      <c r="A11" s="32">
        <v>8</v>
      </c>
      <c r="B11" s="39" t="s">
        <v>340</v>
      </c>
      <c r="C11" s="39" t="s">
        <v>341</v>
      </c>
      <c r="D11" s="39" t="s">
        <v>342</v>
      </c>
      <c r="E11" s="39" t="s">
        <v>343</v>
      </c>
      <c r="F11" s="40" t="s">
        <v>344</v>
      </c>
      <c r="G11" s="39">
        <v>12345</v>
      </c>
      <c r="H11" s="39" t="s">
        <v>345</v>
      </c>
      <c r="I11" s="40" t="s">
        <v>141</v>
      </c>
      <c r="J11" s="71">
        <v>0.02</v>
      </c>
      <c r="K11" s="23"/>
      <c r="L11" s="45"/>
      <c r="M11" s="46"/>
      <c r="N11" s="46"/>
      <c r="O11" s="46"/>
      <c r="P11" s="46"/>
      <c r="Q11" s="46"/>
      <c r="R11" s="46"/>
      <c r="S11" s="46"/>
      <c r="T11" s="46"/>
      <c r="U11" s="46"/>
      <c r="V11" s="46"/>
      <c r="W11" s="46"/>
      <c r="X11" s="46"/>
      <c r="Y11" s="46"/>
      <c r="Z11" s="46"/>
      <c r="AA11" s="46"/>
      <c r="AB11" s="46"/>
      <c r="AC11" s="46"/>
      <c r="AD11" s="46"/>
      <c r="AE11" s="47"/>
      <c r="AF11" s="23"/>
      <c r="AG11" s="23"/>
    </row>
    <row r="12" spans="1:33" x14ac:dyDescent="0.25">
      <c r="A12" s="32">
        <v>9</v>
      </c>
      <c r="B12" s="39"/>
      <c r="C12" s="39"/>
      <c r="D12" s="39"/>
      <c r="E12" s="39"/>
      <c r="F12" s="39"/>
      <c r="G12" s="39"/>
      <c r="H12" s="39"/>
      <c r="I12" s="40"/>
      <c r="J12" s="39"/>
      <c r="K12" s="23"/>
      <c r="L12" s="45"/>
      <c r="M12" s="52" t="s">
        <v>45</v>
      </c>
      <c r="N12" s="46"/>
      <c r="O12" s="46"/>
      <c r="P12" s="49" t="str">
        <f ca="1">OFFSET(INDEX(B:B,COUNTA(B:B)+2),0,6)</f>
        <v>888.555.1234</v>
      </c>
      <c r="Q12" s="260"/>
      <c r="R12" s="260"/>
      <c r="S12" s="260"/>
      <c r="T12" s="260"/>
      <c r="U12" s="261"/>
      <c r="V12" s="46"/>
      <c r="W12" s="60" t="s">
        <v>99</v>
      </c>
      <c r="X12" s="46"/>
      <c r="Y12" s="49" t="str">
        <f ca="1">OFFSET(INDEX(B:B,COUNTA(B:B)+2),0,7)</f>
        <v>Plan X</v>
      </c>
      <c r="Z12" s="50"/>
      <c r="AA12" s="50"/>
      <c r="AB12" s="50"/>
      <c r="AC12" s="50"/>
      <c r="AD12" s="51"/>
      <c r="AE12" s="47"/>
      <c r="AF12" s="23"/>
      <c r="AG12" s="23"/>
    </row>
    <row r="13" spans="1:33" x14ac:dyDescent="0.25">
      <c r="A13" s="32">
        <v>10</v>
      </c>
      <c r="B13" s="39"/>
      <c r="C13" s="39"/>
      <c r="D13" s="39"/>
      <c r="E13" s="39"/>
      <c r="F13" s="39"/>
      <c r="G13" s="39"/>
      <c r="H13" s="39"/>
      <c r="I13" s="40"/>
      <c r="J13" s="39"/>
      <c r="K13" s="23"/>
      <c r="L13" s="45"/>
      <c r="M13" s="46"/>
      <c r="N13" s="46"/>
      <c r="O13" s="46"/>
      <c r="P13" s="46"/>
      <c r="Q13" s="46"/>
      <c r="R13" s="46"/>
      <c r="S13" s="46"/>
      <c r="T13" s="46"/>
      <c r="U13" s="46"/>
      <c r="V13" s="46"/>
      <c r="W13" s="46"/>
      <c r="X13" s="46"/>
      <c r="Y13" s="46"/>
      <c r="Z13" s="46"/>
      <c r="AA13" s="46"/>
      <c r="AB13" s="46"/>
      <c r="AC13" s="46"/>
      <c r="AD13" s="46"/>
      <c r="AE13" s="47"/>
      <c r="AF13" s="23"/>
      <c r="AG13" s="23"/>
    </row>
    <row r="14" spans="1:33" x14ac:dyDescent="0.25">
      <c r="A14" s="32">
        <v>11</v>
      </c>
      <c r="B14" s="39"/>
      <c r="C14" s="39"/>
      <c r="D14" s="39"/>
      <c r="E14" s="39"/>
      <c r="F14" s="39"/>
      <c r="G14" s="39"/>
      <c r="H14" s="39"/>
      <c r="I14" s="40"/>
      <c r="J14" s="39"/>
      <c r="K14" s="23"/>
      <c r="L14" s="45"/>
      <c r="M14" s="52" t="s">
        <v>90</v>
      </c>
      <c r="N14" s="46"/>
      <c r="O14" s="46"/>
      <c r="P14" s="46"/>
      <c r="Q14" s="46"/>
      <c r="R14" s="46"/>
      <c r="S14" s="46"/>
      <c r="T14" s="46"/>
      <c r="U14" s="46"/>
      <c r="V14" s="46"/>
      <c r="W14" s="46"/>
      <c r="X14" s="46"/>
      <c r="Y14" s="49" t="str">
        <f ca="1">TEXT(OFFSET(INDEX(B:B,COUNTA(B:B)+2),0,8),"$#,###.##")</f>
        <v>$.02</v>
      </c>
      <c r="Z14" s="50"/>
      <c r="AA14" s="50"/>
      <c r="AB14" s="50"/>
      <c r="AC14" s="50"/>
      <c r="AD14" s="51"/>
      <c r="AE14" s="47"/>
      <c r="AF14" s="23"/>
      <c r="AG14" s="23"/>
    </row>
    <row r="15" spans="1:33" x14ac:dyDescent="0.25">
      <c r="A15" s="32">
        <v>12</v>
      </c>
      <c r="B15" s="39"/>
      <c r="C15" s="39"/>
      <c r="D15" s="39"/>
      <c r="E15" s="39"/>
      <c r="F15" s="39"/>
      <c r="G15" s="39"/>
      <c r="H15" s="39"/>
      <c r="I15" s="40"/>
      <c r="J15" s="39"/>
      <c r="K15" s="23"/>
      <c r="L15" s="45"/>
      <c r="M15" s="46"/>
      <c r="N15" s="46"/>
      <c r="O15" s="46"/>
      <c r="P15" s="46"/>
      <c r="Q15" s="46"/>
      <c r="R15" s="46"/>
      <c r="S15" s="46"/>
      <c r="T15" s="46"/>
      <c r="U15" s="46"/>
      <c r="V15" s="46"/>
      <c r="W15" s="46"/>
      <c r="X15" s="46"/>
      <c r="Y15" s="46"/>
      <c r="Z15" s="46"/>
      <c r="AA15" s="46"/>
      <c r="AB15" s="46"/>
      <c r="AC15" s="46"/>
      <c r="AD15" s="46"/>
      <c r="AE15" s="47"/>
      <c r="AF15" s="23"/>
      <c r="AG15" s="23"/>
    </row>
    <row r="16" spans="1:33" x14ac:dyDescent="0.25">
      <c r="A16" s="32">
        <v>13</v>
      </c>
      <c r="B16" s="39"/>
      <c r="C16" s="39"/>
      <c r="D16" s="39"/>
      <c r="E16" s="39"/>
      <c r="F16" s="39"/>
      <c r="G16" s="39"/>
      <c r="H16" s="39"/>
      <c r="I16" s="40"/>
      <c r="J16" s="39"/>
      <c r="K16" s="23"/>
      <c r="L16" s="303" t="s">
        <v>91</v>
      </c>
      <c r="M16" s="304"/>
      <c r="N16" s="304"/>
      <c r="O16" s="304"/>
      <c r="P16" s="304"/>
      <c r="Q16" s="304"/>
      <c r="R16" s="304"/>
      <c r="S16" s="304"/>
      <c r="T16" s="304"/>
      <c r="U16" s="304"/>
      <c r="V16" s="304"/>
      <c r="W16" s="304"/>
      <c r="X16" s="304"/>
      <c r="Y16" s="304"/>
      <c r="Z16" s="304"/>
      <c r="AA16" s="304"/>
      <c r="AB16" s="304"/>
      <c r="AC16" s="304"/>
      <c r="AD16" s="304"/>
      <c r="AE16" s="305"/>
      <c r="AF16" s="23"/>
      <c r="AG16" s="23"/>
    </row>
    <row r="17" spans="1:33" ht="16.5" thickBot="1" x14ac:dyDescent="0.3">
      <c r="A17" s="32">
        <v>14</v>
      </c>
      <c r="B17" s="39"/>
      <c r="C17" s="39"/>
      <c r="D17" s="39"/>
      <c r="E17" s="39"/>
      <c r="F17" s="39"/>
      <c r="G17" s="39"/>
      <c r="H17" s="39"/>
      <c r="I17" s="40"/>
      <c r="J17" s="39"/>
      <c r="K17" s="23"/>
      <c r="L17" s="61"/>
      <c r="M17" s="62"/>
      <c r="N17" s="62"/>
      <c r="O17" s="62"/>
      <c r="P17" s="62"/>
      <c r="Q17" s="62"/>
      <c r="R17" s="62"/>
      <c r="S17" s="62"/>
      <c r="T17" s="62"/>
      <c r="U17" s="62"/>
      <c r="V17" s="62"/>
      <c r="W17" s="62"/>
      <c r="X17" s="62"/>
      <c r="Y17" s="62"/>
      <c r="Z17" s="62"/>
      <c r="AA17" s="62"/>
      <c r="AB17" s="62"/>
      <c r="AC17" s="62"/>
      <c r="AD17" s="62"/>
      <c r="AE17" s="63"/>
      <c r="AF17" s="23"/>
      <c r="AG17" s="23"/>
    </row>
    <row r="18" spans="1:33" x14ac:dyDescent="0.25">
      <c r="A18" s="32">
        <v>15</v>
      </c>
      <c r="B18" s="39"/>
      <c r="C18" s="39"/>
      <c r="D18" s="39"/>
      <c r="E18" s="39"/>
      <c r="F18" s="39"/>
      <c r="G18" s="39"/>
      <c r="H18" s="39"/>
      <c r="I18" s="40"/>
      <c r="J18" s="39"/>
      <c r="K18" s="23"/>
      <c r="L18" s="23"/>
      <c r="M18" s="23"/>
      <c r="N18" s="23"/>
      <c r="O18" s="23"/>
      <c r="P18" s="23"/>
      <c r="Q18" s="23"/>
      <c r="R18" s="23"/>
      <c r="S18" s="23"/>
      <c r="T18" s="23"/>
      <c r="U18" s="23"/>
      <c r="V18" s="23"/>
      <c r="W18" s="23"/>
      <c r="X18" s="23"/>
      <c r="Y18" s="23"/>
      <c r="Z18" s="23"/>
      <c r="AA18" s="23"/>
      <c r="AB18" s="23"/>
      <c r="AC18" s="23"/>
      <c r="AD18" s="23"/>
      <c r="AE18" s="23"/>
      <c r="AF18" s="23"/>
      <c r="AG18" s="23"/>
    </row>
    <row r="19" spans="1:33" x14ac:dyDescent="0.25">
      <c r="A19" s="32">
        <v>16</v>
      </c>
      <c r="B19" s="39"/>
      <c r="C19" s="39"/>
      <c r="D19" s="39"/>
      <c r="E19" s="39"/>
      <c r="F19" s="39"/>
      <c r="G19" s="39"/>
      <c r="H19" s="39"/>
      <c r="I19" s="40"/>
      <c r="J19" s="39"/>
      <c r="K19" s="23"/>
      <c r="L19" s="23"/>
      <c r="M19" s="23"/>
      <c r="N19" s="23"/>
      <c r="O19" s="23"/>
      <c r="P19" s="23"/>
      <c r="Q19" s="23"/>
      <c r="R19" s="23"/>
      <c r="S19" s="23"/>
      <c r="T19" s="23"/>
      <c r="U19" s="23"/>
      <c r="V19" s="23"/>
      <c r="W19" s="23"/>
      <c r="X19" s="23"/>
      <c r="Y19" s="23"/>
      <c r="Z19" s="23"/>
      <c r="AA19" s="23"/>
      <c r="AB19" s="23"/>
      <c r="AC19" s="23"/>
      <c r="AD19" s="23"/>
      <c r="AE19" s="23"/>
      <c r="AF19" s="23"/>
      <c r="AG19" s="23"/>
    </row>
    <row r="20" spans="1:33" x14ac:dyDescent="0.25">
      <c r="A20" s="32">
        <v>17</v>
      </c>
      <c r="B20" s="39"/>
      <c r="C20" s="39"/>
      <c r="D20" s="39"/>
      <c r="E20" s="39"/>
      <c r="F20" s="39"/>
      <c r="G20" s="39"/>
      <c r="H20" s="39"/>
      <c r="I20" s="40"/>
      <c r="J20" s="39"/>
      <c r="K20" s="23"/>
      <c r="L20" s="23"/>
      <c r="M20" s="23"/>
      <c r="N20" s="23"/>
      <c r="O20" s="23"/>
      <c r="P20" s="23"/>
      <c r="Q20" s="23"/>
      <c r="R20" s="23"/>
      <c r="S20" s="23"/>
      <c r="T20" s="23"/>
      <c r="U20" s="23"/>
      <c r="V20" s="23"/>
      <c r="W20" s="23"/>
      <c r="X20" s="23"/>
      <c r="Y20" s="23"/>
      <c r="Z20" s="23"/>
      <c r="AA20" s="23"/>
      <c r="AB20" s="23"/>
      <c r="AC20" s="23"/>
      <c r="AD20" s="23"/>
      <c r="AE20" s="23"/>
      <c r="AF20" s="23"/>
      <c r="AG20" s="23"/>
    </row>
    <row r="21" spans="1:33" x14ac:dyDescent="0.25">
      <c r="A21" s="32">
        <v>18</v>
      </c>
      <c r="B21" s="39"/>
      <c r="C21" s="39"/>
      <c r="D21" s="39"/>
      <c r="E21" s="39"/>
      <c r="F21" s="39"/>
      <c r="G21" s="39"/>
      <c r="H21" s="39"/>
      <c r="I21" s="40"/>
      <c r="J21" s="39"/>
      <c r="K21" s="23"/>
      <c r="L21" s="23"/>
      <c r="M21" s="23"/>
      <c r="N21" s="23"/>
      <c r="O21" s="23"/>
      <c r="P21" s="23"/>
      <c r="Q21" s="23"/>
      <c r="R21" s="23"/>
      <c r="S21" s="23"/>
      <c r="T21" s="23"/>
      <c r="U21" s="23"/>
      <c r="V21" s="23"/>
      <c r="W21" s="23"/>
      <c r="X21" s="23"/>
      <c r="Y21" s="23"/>
      <c r="Z21" s="23"/>
      <c r="AA21" s="23"/>
      <c r="AB21" s="23"/>
      <c r="AC21" s="23"/>
      <c r="AD21" s="23"/>
      <c r="AE21" s="23"/>
      <c r="AF21" s="23"/>
      <c r="AG21" s="23"/>
    </row>
    <row r="22" spans="1:33" x14ac:dyDescent="0.25">
      <c r="A22" s="32">
        <v>19</v>
      </c>
      <c r="B22" s="39"/>
      <c r="C22" s="39"/>
      <c r="D22" s="39"/>
      <c r="E22" s="39"/>
      <c r="F22" s="39"/>
      <c r="G22" s="39"/>
      <c r="H22" s="39"/>
      <c r="I22" s="40"/>
      <c r="J22" s="39"/>
      <c r="K22" s="23"/>
      <c r="L22" s="23"/>
      <c r="M22" s="23"/>
      <c r="N22" s="23"/>
      <c r="O22" s="23"/>
      <c r="P22" s="23"/>
      <c r="Q22" s="23"/>
      <c r="R22" s="23"/>
      <c r="S22" s="23"/>
      <c r="T22" s="23"/>
      <c r="U22" s="23"/>
      <c r="V22" s="23"/>
      <c r="W22" s="23"/>
      <c r="X22" s="23"/>
      <c r="Y22" s="23"/>
      <c r="Z22" s="23"/>
      <c r="AA22" s="23"/>
      <c r="AB22" s="23"/>
      <c r="AC22" s="23"/>
      <c r="AD22" s="23"/>
      <c r="AE22" s="23"/>
      <c r="AF22" s="23"/>
      <c r="AG22" s="23"/>
    </row>
    <row r="23" spans="1:33" x14ac:dyDescent="0.25">
      <c r="A23" s="32">
        <v>20</v>
      </c>
      <c r="B23" s="39"/>
      <c r="C23" s="39"/>
      <c r="D23" s="39"/>
      <c r="E23" s="39"/>
      <c r="F23" s="39"/>
      <c r="G23" s="39"/>
      <c r="H23" s="39"/>
      <c r="I23" s="40"/>
      <c r="J23" s="39"/>
      <c r="K23" s="23"/>
      <c r="L23" s="23"/>
      <c r="M23" s="23"/>
      <c r="N23" s="23"/>
      <c r="O23" s="23"/>
      <c r="P23" s="23"/>
      <c r="Q23" s="23"/>
      <c r="R23" s="23"/>
      <c r="S23" s="23"/>
      <c r="T23" s="23"/>
      <c r="U23" s="23"/>
      <c r="V23" s="23"/>
      <c r="W23" s="23"/>
      <c r="X23" s="23"/>
      <c r="Y23" s="23"/>
      <c r="Z23" s="23"/>
      <c r="AA23" s="23"/>
      <c r="AB23" s="23"/>
      <c r="AC23" s="23"/>
      <c r="AD23" s="23"/>
      <c r="AE23" s="23"/>
      <c r="AF23" s="23"/>
      <c r="AG23" s="23"/>
    </row>
    <row r="24" spans="1:33" x14ac:dyDescent="0.25">
      <c r="A24" s="32">
        <v>21</v>
      </c>
      <c r="B24" s="39"/>
      <c r="C24" s="39"/>
      <c r="D24" s="39"/>
      <c r="E24" s="39"/>
      <c r="F24" s="39"/>
      <c r="G24" s="39"/>
      <c r="H24" s="39"/>
      <c r="I24" s="40"/>
      <c r="J24" s="39"/>
      <c r="K24" s="23"/>
      <c r="L24" s="23"/>
      <c r="M24" s="23"/>
      <c r="N24" s="23"/>
      <c r="O24" s="23"/>
      <c r="P24" s="23"/>
      <c r="Q24" s="23"/>
      <c r="R24" s="23"/>
      <c r="S24" s="23"/>
      <c r="T24" s="23"/>
      <c r="U24" s="23"/>
      <c r="V24" s="23"/>
      <c r="W24" s="23"/>
      <c r="X24" s="23"/>
      <c r="Y24" s="23"/>
      <c r="Z24" s="23"/>
      <c r="AA24" s="23"/>
      <c r="AB24" s="23"/>
      <c r="AC24" s="23"/>
      <c r="AD24" s="23"/>
      <c r="AE24" s="23"/>
      <c r="AF24" s="23"/>
      <c r="AG24" s="23"/>
    </row>
    <row r="25" spans="1:33" x14ac:dyDescent="0.25">
      <c r="A25" s="32">
        <v>22</v>
      </c>
      <c r="B25" s="39"/>
      <c r="C25" s="39"/>
      <c r="D25" s="39"/>
      <c r="E25" s="39"/>
      <c r="F25" s="39"/>
      <c r="G25" s="39"/>
      <c r="H25" s="39"/>
      <c r="I25" s="40"/>
      <c r="J25" s="39"/>
      <c r="K25" s="23"/>
      <c r="L25" s="23"/>
      <c r="M25" s="23"/>
      <c r="N25" s="23"/>
      <c r="O25" s="23"/>
      <c r="P25" s="23"/>
      <c r="Q25" s="23"/>
      <c r="R25" s="23"/>
      <c r="S25" s="23"/>
      <c r="T25" s="23"/>
      <c r="U25" s="23"/>
      <c r="V25" s="23"/>
      <c r="W25" s="23"/>
      <c r="X25" s="23"/>
      <c r="Y25" s="23"/>
      <c r="Z25" s="23"/>
      <c r="AA25" s="23"/>
      <c r="AB25" s="23"/>
      <c r="AC25" s="23"/>
      <c r="AD25" s="23"/>
      <c r="AE25" s="23"/>
      <c r="AF25" s="23"/>
      <c r="AG25" s="23"/>
    </row>
    <row r="26" spans="1:33" x14ac:dyDescent="0.25">
      <c r="A26" s="32">
        <v>23</v>
      </c>
      <c r="B26" s="39"/>
      <c r="C26" s="39"/>
      <c r="D26" s="39"/>
      <c r="E26" s="39"/>
      <c r="F26" s="39"/>
      <c r="G26" s="39"/>
      <c r="H26" s="39"/>
      <c r="I26" s="40"/>
      <c r="J26" s="39"/>
      <c r="K26" s="23"/>
      <c r="L26" s="23"/>
      <c r="M26" s="23"/>
      <c r="N26" s="23"/>
      <c r="O26" s="23"/>
      <c r="P26" s="23"/>
      <c r="Q26" s="23"/>
      <c r="R26" s="23"/>
      <c r="S26" s="23"/>
      <c r="T26" s="23"/>
      <c r="U26" s="23"/>
      <c r="V26" s="23"/>
      <c r="W26" s="23"/>
      <c r="X26" s="23"/>
      <c r="Y26" s="23"/>
      <c r="Z26" s="23"/>
      <c r="AA26" s="23"/>
      <c r="AB26" s="23"/>
      <c r="AC26" s="23"/>
      <c r="AD26" s="23"/>
      <c r="AE26" s="23"/>
      <c r="AF26" s="23"/>
      <c r="AG26" s="23"/>
    </row>
    <row r="27" spans="1:33" x14ac:dyDescent="0.25">
      <c r="A27" s="32">
        <v>24</v>
      </c>
      <c r="B27" s="39"/>
      <c r="C27" s="39"/>
      <c r="D27" s="39"/>
      <c r="E27" s="39"/>
      <c r="F27" s="39"/>
      <c r="G27" s="39"/>
      <c r="H27" s="39"/>
      <c r="I27" s="40"/>
      <c r="J27" s="39"/>
      <c r="K27" s="23"/>
      <c r="L27" s="23"/>
      <c r="M27" s="23"/>
      <c r="N27" s="23"/>
      <c r="O27" s="23"/>
      <c r="P27" s="23"/>
      <c r="Q27" s="23"/>
      <c r="R27" s="23"/>
      <c r="S27" s="23"/>
      <c r="T27" s="23"/>
      <c r="U27" s="23"/>
      <c r="V27" s="23"/>
      <c r="W27" s="23"/>
      <c r="X27" s="23"/>
      <c r="Y27" s="23"/>
      <c r="Z27" s="23"/>
      <c r="AA27" s="23"/>
      <c r="AB27" s="23"/>
      <c r="AC27" s="23"/>
      <c r="AD27" s="23"/>
      <c r="AE27" s="23"/>
      <c r="AF27" s="23"/>
      <c r="AG27" s="23"/>
    </row>
    <row r="28" spans="1:33" x14ac:dyDescent="0.25">
      <c r="A28" s="32">
        <v>25</v>
      </c>
      <c r="B28" s="39"/>
      <c r="C28" s="39"/>
      <c r="D28" s="39"/>
      <c r="E28" s="39"/>
      <c r="F28" s="39"/>
      <c r="G28" s="39"/>
      <c r="H28" s="39"/>
      <c r="I28" s="40"/>
      <c r="J28" s="39"/>
      <c r="K28" s="23"/>
      <c r="L28" s="23"/>
      <c r="M28" s="23"/>
      <c r="N28" s="23"/>
      <c r="O28" s="23"/>
      <c r="P28" s="23"/>
      <c r="Q28" s="23"/>
      <c r="R28" s="23"/>
      <c r="S28" s="23"/>
      <c r="T28" s="23"/>
      <c r="U28" s="23"/>
      <c r="V28" s="23"/>
      <c r="W28" s="23"/>
      <c r="X28" s="23"/>
      <c r="Y28" s="23"/>
      <c r="Z28" s="23"/>
      <c r="AA28" s="23"/>
      <c r="AB28" s="23"/>
      <c r="AC28" s="23"/>
      <c r="AD28" s="23"/>
      <c r="AE28" s="23"/>
      <c r="AF28" s="23"/>
      <c r="AG28" s="23"/>
    </row>
    <row r="29" spans="1:33" x14ac:dyDescent="0.25">
      <c r="A29" s="32">
        <v>26</v>
      </c>
      <c r="B29" s="39"/>
      <c r="C29" s="39"/>
      <c r="D29" s="39"/>
      <c r="E29" s="39"/>
      <c r="F29" s="39"/>
      <c r="G29" s="39"/>
      <c r="H29" s="39"/>
      <c r="I29" s="40"/>
      <c r="J29" s="39"/>
      <c r="K29" s="23"/>
      <c r="L29" s="23"/>
      <c r="M29" s="23"/>
      <c r="N29" s="23"/>
      <c r="O29" s="23"/>
      <c r="P29" s="23"/>
      <c r="Q29" s="23"/>
      <c r="R29" s="23"/>
      <c r="S29" s="23"/>
      <c r="T29" s="23"/>
      <c r="U29" s="23"/>
      <c r="V29" s="23"/>
      <c r="W29" s="23"/>
      <c r="X29" s="23"/>
      <c r="Y29" s="23"/>
      <c r="Z29" s="23"/>
      <c r="AA29" s="23"/>
      <c r="AB29" s="23"/>
      <c r="AC29" s="23"/>
      <c r="AD29" s="23"/>
      <c r="AE29" s="23"/>
      <c r="AF29" s="23"/>
      <c r="AG29" s="23"/>
    </row>
  </sheetData>
  <mergeCells count="2">
    <mergeCell ref="L4:AE4"/>
    <mergeCell ref="L16:AE16"/>
  </mergeCells>
  <pageMargins left="0.7" right="0.7" top="0.75" bottom="0.75" header="0.3" footer="0.3"/>
  <drawing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dimension ref="A1:AG28"/>
  <sheetViews>
    <sheetView showGridLines="0" workbookViewId="0">
      <selection activeCell="Q1" sqref="Q1"/>
    </sheetView>
  </sheetViews>
  <sheetFormatPr defaultRowHeight="15.75" x14ac:dyDescent="0.25"/>
  <cols>
    <col min="1" max="1" width="7.875" bestFit="1" customWidth="1"/>
    <col min="2" max="3" width="10" bestFit="1" customWidth="1"/>
    <col min="4" max="4" width="19" bestFit="1" customWidth="1"/>
    <col min="5" max="5" width="8.375" bestFit="1" customWidth="1"/>
    <col min="6" max="6" width="5.375" bestFit="1" customWidth="1"/>
    <col min="7" max="7" width="5.875" bestFit="1" customWidth="1"/>
    <col min="8" max="8" width="11.875" bestFit="1" customWidth="1"/>
    <col min="9" max="9" width="11.875" customWidth="1"/>
    <col min="10" max="10" width="14" customWidth="1"/>
    <col min="11" max="11" width="3.75" customWidth="1"/>
    <col min="12" max="31" width="3.625" customWidth="1"/>
    <col min="32" max="32" width="3" customWidth="1"/>
  </cols>
  <sheetData>
    <row r="1" spans="1:33" x14ac:dyDescent="0.25">
      <c r="A1" s="16"/>
      <c r="B1" s="16"/>
      <c r="C1" s="16"/>
      <c r="D1" s="16"/>
      <c r="E1" s="16"/>
      <c r="F1" s="16"/>
      <c r="G1" s="16"/>
      <c r="H1" s="16"/>
      <c r="I1" s="16"/>
      <c r="J1" s="16"/>
      <c r="K1" s="16"/>
      <c r="L1" s="16"/>
      <c r="M1" s="16"/>
      <c r="N1" s="16"/>
      <c r="O1" s="16"/>
      <c r="P1" s="16"/>
      <c r="Q1" s="16"/>
      <c r="R1" s="16"/>
      <c r="S1" s="17">
        <f t="shared" ref="S1:AB1" si="0">VLOOKUP(MAX($A$3:$A$147),$A$3:$H$147,2)</f>
        <v>0</v>
      </c>
      <c r="T1" s="17">
        <f t="shared" si="0"/>
        <v>0</v>
      </c>
      <c r="U1" s="17">
        <f t="shared" si="0"/>
        <v>0</v>
      </c>
      <c r="V1" s="17">
        <f t="shared" si="0"/>
        <v>0</v>
      </c>
      <c r="W1" s="17">
        <f t="shared" si="0"/>
        <v>0</v>
      </c>
      <c r="X1" s="17">
        <f t="shared" si="0"/>
        <v>0</v>
      </c>
      <c r="Y1" s="17">
        <f t="shared" si="0"/>
        <v>0</v>
      </c>
      <c r="Z1" s="17">
        <f t="shared" si="0"/>
        <v>0</v>
      </c>
      <c r="AA1" s="17">
        <f t="shared" si="0"/>
        <v>0</v>
      </c>
      <c r="AB1" s="17">
        <f t="shared" si="0"/>
        <v>0</v>
      </c>
      <c r="AC1" s="18"/>
      <c r="AD1" s="18"/>
      <c r="AE1" s="18"/>
      <c r="AF1" s="18"/>
      <c r="AG1" s="18"/>
    </row>
    <row r="2" spans="1:33" ht="16.5" thickBot="1" x14ac:dyDescent="0.3">
      <c r="A2" s="73"/>
      <c r="B2" s="20"/>
      <c r="C2" s="20"/>
      <c r="D2" s="20"/>
      <c r="E2" s="20"/>
      <c r="F2" s="20"/>
      <c r="G2" s="20"/>
      <c r="H2" s="20"/>
      <c r="I2" s="22"/>
      <c r="J2" s="20"/>
      <c r="K2" s="23"/>
      <c r="L2" s="23"/>
      <c r="M2" s="23"/>
      <c r="N2" s="23"/>
      <c r="O2" s="23"/>
      <c r="P2" s="23"/>
      <c r="Q2" s="23"/>
      <c r="R2" s="23"/>
      <c r="S2" s="23"/>
      <c r="T2" s="23"/>
      <c r="U2" s="23"/>
      <c r="V2" s="23"/>
      <c r="W2" s="23"/>
      <c r="X2" s="23"/>
      <c r="Y2" s="23"/>
      <c r="Z2" s="23"/>
      <c r="AA2" s="23"/>
      <c r="AB2" s="23"/>
      <c r="AC2" s="23"/>
      <c r="AD2" s="23"/>
      <c r="AE2" s="23"/>
      <c r="AF2" s="23"/>
      <c r="AG2" s="23"/>
    </row>
    <row r="3" spans="1:33" x14ac:dyDescent="0.25">
      <c r="A3" s="68" t="s">
        <v>38</v>
      </c>
      <c r="B3" s="69" t="s">
        <v>39</v>
      </c>
      <c r="C3" s="69" t="s">
        <v>40</v>
      </c>
      <c r="D3" s="69" t="s">
        <v>41</v>
      </c>
      <c r="E3" s="68" t="s">
        <v>42</v>
      </c>
      <c r="F3" s="68" t="s">
        <v>43</v>
      </c>
      <c r="G3" s="68" t="s">
        <v>44</v>
      </c>
      <c r="H3" s="68" t="s">
        <v>45</v>
      </c>
      <c r="I3" s="68" t="s">
        <v>46</v>
      </c>
      <c r="J3" s="68" t="s">
        <v>47</v>
      </c>
      <c r="K3" s="23"/>
      <c r="L3" s="29"/>
      <c r="M3" s="30"/>
      <c r="N3" s="30"/>
      <c r="O3" s="30"/>
      <c r="P3" s="30"/>
      <c r="Q3" s="30"/>
      <c r="R3" s="30"/>
      <c r="S3" s="30"/>
      <c r="T3" s="30"/>
      <c r="U3" s="30"/>
      <c r="V3" s="30"/>
      <c r="W3" s="30"/>
      <c r="X3" s="30"/>
      <c r="Y3" s="30"/>
      <c r="Z3" s="30"/>
      <c r="AA3" s="30"/>
      <c r="AB3" s="30"/>
      <c r="AC3" s="30"/>
      <c r="AD3" s="30"/>
      <c r="AE3" s="31"/>
      <c r="AF3" s="23"/>
      <c r="AG3" s="23"/>
    </row>
    <row r="4" spans="1:33" x14ac:dyDescent="0.25">
      <c r="A4" s="32">
        <v>1</v>
      </c>
      <c r="B4" s="33" t="s">
        <v>48</v>
      </c>
      <c r="C4" s="34" t="s">
        <v>49</v>
      </c>
      <c r="D4" s="34" t="s">
        <v>50</v>
      </c>
      <c r="E4" s="34" t="s">
        <v>51</v>
      </c>
      <c r="F4" s="35" t="s">
        <v>52</v>
      </c>
      <c r="G4" s="35">
        <v>30062</v>
      </c>
      <c r="H4" s="33" t="s">
        <v>53</v>
      </c>
      <c r="I4" s="37" t="s">
        <v>54</v>
      </c>
      <c r="J4" s="70">
        <v>157665</v>
      </c>
      <c r="K4" s="23"/>
      <c r="L4" s="300" t="s">
        <v>55</v>
      </c>
      <c r="M4" s="301"/>
      <c r="N4" s="301"/>
      <c r="O4" s="301"/>
      <c r="P4" s="301"/>
      <c r="Q4" s="301"/>
      <c r="R4" s="301"/>
      <c r="S4" s="301"/>
      <c r="T4" s="301"/>
      <c r="U4" s="301"/>
      <c r="V4" s="301"/>
      <c r="W4" s="301"/>
      <c r="X4" s="301"/>
      <c r="Y4" s="301"/>
      <c r="Z4" s="301"/>
      <c r="AA4" s="301"/>
      <c r="AB4" s="301"/>
      <c r="AC4" s="301"/>
      <c r="AD4" s="301"/>
      <c r="AE4" s="302"/>
      <c r="AF4" s="23"/>
      <c r="AG4" s="23"/>
    </row>
    <row r="5" spans="1:33" x14ac:dyDescent="0.25">
      <c r="A5" s="32">
        <v>2</v>
      </c>
      <c r="B5" s="39" t="s">
        <v>56</v>
      </c>
      <c r="C5" s="39" t="s">
        <v>57</v>
      </c>
      <c r="D5" s="39" t="s">
        <v>58</v>
      </c>
      <c r="E5" s="39" t="s">
        <v>51</v>
      </c>
      <c r="F5" s="40" t="s">
        <v>52</v>
      </c>
      <c r="G5" s="40">
        <v>30063</v>
      </c>
      <c r="H5" s="42" t="s">
        <v>59</v>
      </c>
      <c r="I5" s="43" t="s">
        <v>60</v>
      </c>
      <c r="J5" s="71">
        <v>156340</v>
      </c>
      <c r="K5" s="23"/>
      <c r="L5" s="45"/>
      <c r="M5" s="46"/>
      <c r="N5" s="46"/>
      <c r="O5" s="46"/>
      <c r="P5" s="46"/>
      <c r="Q5" s="46"/>
      <c r="R5" s="46"/>
      <c r="S5" s="46"/>
      <c r="T5" s="46"/>
      <c r="U5" s="46"/>
      <c r="V5" s="46"/>
      <c r="W5" s="46"/>
      <c r="X5" s="46"/>
      <c r="Y5" s="46"/>
      <c r="Z5" s="46"/>
      <c r="AA5" s="46"/>
      <c r="AB5" s="46"/>
      <c r="AC5" s="46"/>
      <c r="AD5" s="46"/>
      <c r="AE5" s="47"/>
      <c r="AF5" s="23"/>
      <c r="AG5" s="23"/>
    </row>
    <row r="6" spans="1:33" x14ac:dyDescent="0.25">
      <c r="A6" s="32">
        <v>3</v>
      </c>
      <c r="B6" s="39" t="s">
        <v>61</v>
      </c>
      <c r="C6" s="42" t="s">
        <v>62</v>
      </c>
      <c r="D6" s="39" t="s">
        <v>63</v>
      </c>
      <c r="E6" s="39" t="s">
        <v>51</v>
      </c>
      <c r="F6" s="40" t="s">
        <v>52</v>
      </c>
      <c r="G6" s="40">
        <v>30064</v>
      </c>
      <c r="H6" s="42" t="s">
        <v>64</v>
      </c>
      <c r="I6" s="43" t="s">
        <v>65</v>
      </c>
      <c r="J6" s="71">
        <v>81480</v>
      </c>
      <c r="K6" s="23"/>
      <c r="L6" s="45"/>
      <c r="M6" s="48" t="s">
        <v>39</v>
      </c>
      <c r="N6" s="46"/>
      <c r="O6" s="46"/>
      <c r="P6" s="306" t="str">
        <f>VLOOKUP((101-COUNTBLANK($B$4:$B$104)),$A$4:$J$104,2,FALSE)</f>
        <v>Barton</v>
      </c>
      <c r="Q6" s="314"/>
      <c r="R6" s="314"/>
      <c r="S6" s="314"/>
      <c r="T6" s="314"/>
      <c r="U6" s="315"/>
      <c r="V6" s="46"/>
      <c r="W6" s="52" t="s">
        <v>42</v>
      </c>
      <c r="X6" s="46"/>
      <c r="Y6" s="306" t="str">
        <f>VLOOKUP((101-COUNTBLANK($B$4:$B$104)),$A$4:$J$104,5,FALSE)</f>
        <v>Chatt</v>
      </c>
      <c r="Z6" s="314"/>
      <c r="AA6" s="314"/>
      <c r="AB6" s="314"/>
      <c r="AC6" s="314"/>
      <c r="AD6" s="315"/>
      <c r="AE6" s="47"/>
      <c r="AF6" s="23"/>
      <c r="AG6" s="23"/>
    </row>
    <row r="7" spans="1:33" x14ac:dyDescent="0.25">
      <c r="A7" s="32">
        <v>4</v>
      </c>
      <c r="B7" s="39" t="s">
        <v>66</v>
      </c>
      <c r="C7" s="42" t="s">
        <v>67</v>
      </c>
      <c r="D7" s="39" t="s">
        <v>68</v>
      </c>
      <c r="E7" s="39" t="s">
        <v>51</v>
      </c>
      <c r="F7" s="40" t="s">
        <v>52</v>
      </c>
      <c r="G7" s="40">
        <v>30065</v>
      </c>
      <c r="H7" s="42" t="s">
        <v>69</v>
      </c>
      <c r="I7" s="43" t="s">
        <v>54</v>
      </c>
      <c r="J7" s="71">
        <v>202578</v>
      </c>
      <c r="K7" s="23"/>
      <c r="L7" s="45"/>
      <c r="M7" s="46"/>
      <c r="N7" s="46"/>
      <c r="O7" s="46"/>
      <c r="P7" s="46"/>
      <c r="Q7" s="46"/>
      <c r="R7" s="46"/>
      <c r="S7" s="46"/>
      <c r="T7" s="46"/>
      <c r="U7" s="46"/>
      <c r="V7" s="46"/>
      <c r="W7" s="46"/>
      <c r="X7" s="46"/>
      <c r="Y7" s="46"/>
      <c r="Z7" s="46"/>
      <c r="AA7" s="46"/>
      <c r="AB7" s="46"/>
      <c r="AC7" s="46"/>
      <c r="AD7" s="46"/>
      <c r="AE7" s="47"/>
      <c r="AF7" s="23"/>
      <c r="AG7" s="23"/>
    </row>
    <row r="8" spans="1:33" x14ac:dyDescent="0.25">
      <c r="A8" s="32">
        <v>5</v>
      </c>
      <c r="B8" s="42" t="s">
        <v>70</v>
      </c>
      <c r="C8" s="39" t="s">
        <v>71</v>
      </c>
      <c r="D8" s="39" t="s">
        <v>72</v>
      </c>
      <c r="E8" s="39" t="s">
        <v>51</v>
      </c>
      <c r="F8" s="40" t="s">
        <v>52</v>
      </c>
      <c r="G8" s="40">
        <v>30066</v>
      </c>
      <c r="H8" s="42" t="s">
        <v>73</v>
      </c>
      <c r="I8" s="43" t="s">
        <v>60</v>
      </c>
      <c r="J8" s="71">
        <v>177209</v>
      </c>
      <c r="K8" s="23"/>
      <c r="L8" s="45"/>
      <c r="M8" s="48" t="s">
        <v>40</v>
      </c>
      <c r="N8" s="46"/>
      <c r="O8" s="46"/>
      <c r="P8" s="306" t="str">
        <f>VLOOKUP((101-COUNTBLANK($B$4:$B$104)),$A$4:$J$104,3,FALSE)</f>
        <v>Mark</v>
      </c>
      <c r="Q8" s="314"/>
      <c r="R8" s="314"/>
      <c r="S8" s="314"/>
      <c r="T8" s="314"/>
      <c r="U8" s="315"/>
      <c r="V8" s="46"/>
      <c r="W8" s="52" t="s">
        <v>43</v>
      </c>
      <c r="X8" s="46"/>
      <c r="Y8" s="306" t="str">
        <f>VLOOKUP((101-COUNTBLANK($B$4:$B$104)),$A$4:$J$104,6,FALSE)</f>
        <v>TN</v>
      </c>
      <c r="Z8" s="314"/>
      <c r="AA8" s="314"/>
      <c r="AB8" s="314"/>
      <c r="AC8" s="314"/>
      <c r="AD8" s="315"/>
      <c r="AE8" s="47"/>
      <c r="AF8" s="23"/>
      <c r="AG8" s="23"/>
    </row>
    <row r="9" spans="1:33" x14ac:dyDescent="0.25">
      <c r="A9" s="32">
        <v>6</v>
      </c>
      <c r="B9" s="39" t="s">
        <v>74</v>
      </c>
      <c r="C9" s="39" t="s">
        <v>75</v>
      </c>
      <c r="D9" s="39" t="s">
        <v>76</v>
      </c>
      <c r="E9" s="39" t="s">
        <v>77</v>
      </c>
      <c r="F9" s="40" t="s">
        <v>52</v>
      </c>
      <c r="G9" s="40">
        <v>30092</v>
      </c>
      <c r="H9" s="42" t="s">
        <v>78</v>
      </c>
      <c r="I9" s="43" t="s">
        <v>65</v>
      </c>
      <c r="J9" s="71">
        <v>212254.23</v>
      </c>
      <c r="K9" s="23"/>
      <c r="L9" s="45"/>
      <c r="M9" s="46"/>
      <c r="N9" s="46"/>
      <c r="O9" s="46"/>
      <c r="P9" s="46"/>
      <c r="Q9" s="46"/>
      <c r="R9" s="46"/>
      <c r="S9" s="46"/>
      <c r="T9" s="46"/>
      <c r="U9" s="46"/>
      <c r="V9" s="46"/>
      <c r="W9" s="46"/>
      <c r="X9" s="46"/>
      <c r="Y9" s="46"/>
      <c r="Z9" s="46"/>
      <c r="AA9" s="46"/>
      <c r="AB9" s="46"/>
      <c r="AC9" s="46"/>
      <c r="AD9" s="46"/>
      <c r="AE9" s="47"/>
      <c r="AF9" s="23"/>
      <c r="AG9" s="23"/>
    </row>
    <row r="10" spans="1:33" x14ac:dyDescent="0.25">
      <c r="A10" s="32">
        <v>7</v>
      </c>
      <c r="B10" s="39" t="s">
        <v>79</v>
      </c>
      <c r="C10" s="39" t="s">
        <v>80</v>
      </c>
      <c r="D10" s="39" t="s">
        <v>50</v>
      </c>
      <c r="E10" s="39" t="s">
        <v>81</v>
      </c>
      <c r="F10" s="40" t="s">
        <v>82</v>
      </c>
      <c r="G10" s="40">
        <v>30092</v>
      </c>
      <c r="H10" s="42" t="s">
        <v>53</v>
      </c>
      <c r="I10" s="43" t="s">
        <v>54</v>
      </c>
      <c r="J10" s="71">
        <v>124533.45</v>
      </c>
      <c r="K10" s="23"/>
      <c r="L10" s="45"/>
      <c r="M10" s="48" t="s">
        <v>41</v>
      </c>
      <c r="N10" s="46"/>
      <c r="O10" s="46"/>
      <c r="P10" s="306" t="str">
        <f>VLOOKUP((101-COUNTBLANK($B$4:$B$104)),$A$4:$J$104,4,FALSE)</f>
        <v>7324 Noah Reid Rd</v>
      </c>
      <c r="Q10" s="314"/>
      <c r="R10" s="314"/>
      <c r="S10" s="314"/>
      <c r="T10" s="314"/>
      <c r="U10" s="315"/>
      <c r="V10" s="46"/>
      <c r="W10" s="52" t="s">
        <v>44</v>
      </c>
      <c r="X10" s="46"/>
      <c r="Y10" s="306">
        <f>VLOOKUP((101-COUNTBLANK($B$4:$B$104)),$A$4:$J$104,7,FALSE)</f>
        <v>37421</v>
      </c>
      <c r="Z10" s="314"/>
      <c r="AA10" s="314"/>
      <c r="AB10" s="314"/>
      <c r="AC10" s="314"/>
      <c r="AD10" s="315"/>
      <c r="AE10" s="47"/>
      <c r="AF10" s="23"/>
      <c r="AG10" s="23"/>
    </row>
    <row r="11" spans="1:33" x14ac:dyDescent="0.25">
      <c r="A11" s="32">
        <v>8</v>
      </c>
      <c r="B11" s="39" t="s">
        <v>348</v>
      </c>
      <c r="C11" s="39" t="s">
        <v>349</v>
      </c>
      <c r="D11" s="39" t="s">
        <v>350</v>
      </c>
      <c r="E11" s="39" t="s">
        <v>351</v>
      </c>
      <c r="F11" s="39" t="s">
        <v>352</v>
      </c>
      <c r="G11" s="39">
        <v>37421</v>
      </c>
      <c r="H11" s="39" t="s">
        <v>353</v>
      </c>
      <c r="I11" s="40" t="s">
        <v>60</v>
      </c>
      <c r="J11" s="71">
        <v>1000000</v>
      </c>
      <c r="K11" s="23"/>
      <c r="L11" s="45"/>
      <c r="M11" s="46"/>
      <c r="N11" s="46"/>
      <c r="O11" s="46"/>
      <c r="P11" s="46"/>
      <c r="Q11" s="46"/>
      <c r="R11" s="46"/>
      <c r="S11" s="46"/>
      <c r="T11" s="46"/>
      <c r="U11" s="46"/>
      <c r="V11" s="46"/>
      <c r="W11" s="46"/>
      <c r="X11" s="46"/>
      <c r="Y11" s="46"/>
      <c r="Z11" s="46"/>
      <c r="AA11" s="46"/>
      <c r="AB11" s="46"/>
      <c r="AC11" s="46"/>
      <c r="AD11" s="46"/>
      <c r="AE11" s="47"/>
      <c r="AF11" s="23"/>
      <c r="AG11" s="23"/>
    </row>
    <row r="12" spans="1:33" x14ac:dyDescent="0.25">
      <c r="A12" s="32">
        <v>9</v>
      </c>
      <c r="B12" s="39"/>
      <c r="C12" s="39"/>
      <c r="D12" s="39"/>
      <c r="E12" s="39"/>
      <c r="F12" s="39"/>
      <c r="G12" s="39"/>
      <c r="H12" s="39"/>
      <c r="I12" s="40"/>
      <c r="J12" s="39"/>
      <c r="K12" s="23"/>
      <c r="L12" s="45"/>
      <c r="M12" s="52" t="s">
        <v>45</v>
      </c>
      <c r="N12" s="46"/>
      <c r="O12" s="46"/>
      <c r="P12" s="306" t="str">
        <f>VLOOKUP((101-COUNTBLANK($B$4:$B$104)),$A$4:$J$104,8,FALSE)</f>
        <v>423.296.8574</v>
      </c>
      <c r="Q12" s="314"/>
      <c r="R12" s="314"/>
      <c r="S12" s="314"/>
      <c r="T12" s="314"/>
      <c r="U12" s="315"/>
      <c r="V12" s="46"/>
      <c r="W12" s="60" t="s">
        <v>99</v>
      </c>
      <c r="X12" s="46"/>
      <c r="Y12" s="306" t="str">
        <f>VLOOKUP((101-COUNTBLANK($B$4:$B$104)),$A$4:$J$104,9,FALSE)</f>
        <v>Plan B</v>
      </c>
      <c r="Z12" s="314"/>
      <c r="AA12" s="314"/>
      <c r="AB12" s="314"/>
      <c r="AC12" s="314"/>
      <c r="AD12" s="315"/>
      <c r="AE12" s="47"/>
      <c r="AF12" s="23"/>
      <c r="AG12" s="23"/>
    </row>
    <row r="13" spans="1:33" x14ac:dyDescent="0.25">
      <c r="A13" s="32">
        <v>10</v>
      </c>
      <c r="B13" s="39"/>
      <c r="C13" s="39"/>
      <c r="D13" s="39"/>
      <c r="E13" s="39"/>
      <c r="F13" s="39"/>
      <c r="G13" s="39"/>
      <c r="H13" s="39"/>
      <c r="I13" s="40"/>
      <c r="J13" s="39"/>
      <c r="K13" s="23"/>
      <c r="L13" s="45"/>
      <c r="M13" s="46"/>
      <c r="N13" s="46"/>
      <c r="O13" s="46"/>
      <c r="P13" s="46"/>
      <c r="Q13" s="46"/>
      <c r="R13" s="46"/>
      <c r="S13" s="46"/>
      <c r="T13" s="46"/>
      <c r="U13" s="46"/>
      <c r="V13" s="46"/>
      <c r="W13" s="46"/>
      <c r="X13" s="46"/>
      <c r="Y13" s="46"/>
      <c r="Z13" s="46"/>
      <c r="AA13" s="46"/>
      <c r="AB13" s="46"/>
      <c r="AC13" s="46"/>
      <c r="AD13" s="46"/>
      <c r="AE13" s="47"/>
      <c r="AF13" s="23"/>
      <c r="AG13" s="23"/>
    </row>
    <row r="14" spans="1:33" x14ac:dyDescent="0.25">
      <c r="A14" s="32">
        <v>11</v>
      </c>
      <c r="B14" s="39"/>
      <c r="C14" s="39"/>
      <c r="D14" s="39"/>
      <c r="E14" s="39"/>
      <c r="F14" s="39"/>
      <c r="G14" s="39"/>
      <c r="H14" s="39"/>
      <c r="I14" s="40"/>
      <c r="J14" s="39"/>
      <c r="K14" s="23"/>
      <c r="L14" s="45"/>
      <c r="M14" s="52" t="s">
        <v>90</v>
      </c>
      <c r="N14" s="46"/>
      <c r="O14" s="46"/>
      <c r="P14" s="46"/>
      <c r="Q14" s="46"/>
      <c r="R14" s="46"/>
      <c r="S14" s="46"/>
      <c r="T14" s="46"/>
      <c r="U14" s="46"/>
      <c r="V14" s="46"/>
      <c r="W14" s="46"/>
      <c r="X14" s="46"/>
      <c r="Y14" s="347">
        <f>VLOOKUP((101-COUNTBLANK($B$4:$B$104)),$A$4:$J$104,10,FALSE)</f>
        <v>1000000</v>
      </c>
      <c r="Z14" s="348"/>
      <c r="AA14" s="348"/>
      <c r="AB14" s="348"/>
      <c r="AC14" s="348"/>
      <c r="AD14" s="349"/>
      <c r="AE14" s="47"/>
      <c r="AF14" s="23"/>
      <c r="AG14" s="23"/>
    </row>
    <row r="15" spans="1:33" x14ac:dyDescent="0.25">
      <c r="A15" s="32">
        <v>12</v>
      </c>
      <c r="B15" s="39"/>
      <c r="C15" s="39"/>
      <c r="D15" s="39"/>
      <c r="E15" s="39"/>
      <c r="F15" s="39"/>
      <c r="G15" s="39"/>
      <c r="H15" s="39"/>
      <c r="I15" s="40"/>
      <c r="J15" s="39"/>
      <c r="K15" s="23"/>
      <c r="L15" s="45"/>
      <c r="M15" s="46"/>
      <c r="N15" s="46"/>
      <c r="O15" s="46"/>
      <c r="P15" s="46"/>
      <c r="Q15" s="46"/>
      <c r="R15" s="46"/>
      <c r="S15" s="46"/>
      <c r="T15" s="46"/>
      <c r="U15" s="46"/>
      <c r="V15" s="46"/>
      <c r="W15" s="46"/>
      <c r="X15" s="46"/>
      <c r="Y15" s="46"/>
      <c r="Z15" s="46"/>
      <c r="AA15" s="46"/>
      <c r="AB15" s="46"/>
      <c r="AC15" s="46"/>
      <c r="AD15" s="46"/>
      <c r="AE15" s="47"/>
      <c r="AF15" s="23"/>
      <c r="AG15" s="23"/>
    </row>
    <row r="16" spans="1:33" x14ac:dyDescent="0.25">
      <c r="A16" s="32">
        <v>13</v>
      </c>
      <c r="B16" s="39"/>
      <c r="C16" s="39"/>
      <c r="D16" s="39"/>
      <c r="E16" s="39"/>
      <c r="F16" s="39"/>
      <c r="G16" s="39"/>
      <c r="H16" s="39"/>
      <c r="I16" s="40"/>
      <c r="J16" s="39"/>
      <c r="K16" s="23"/>
      <c r="L16" s="303" t="s">
        <v>91</v>
      </c>
      <c r="M16" s="304"/>
      <c r="N16" s="304"/>
      <c r="O16" s="304"/>
      <c r="P16" s="304"/>
      <c r="Q16" s="304"/>
      <c r="R16" s="304"/>
      <c r="S16" s="304"/>
      <c r="T16" s="304"/>
      <c r="U16" s="304"/>
      <c r="V16" s="304"/>
      <c r="W16" s="304"/>
      <c r="X16" s="304"/>
      <c r="Y16" s="304"/>
      <c r="Z16" s="304"/>
      <c r="AA16" s="304"/>
      <c r="AB16" s="304"/>
      <c r="AC16" s="304"/>
      <c r="AD16" s="304"/>
      <c r="AE16" s="305"/>
      <c r="AF16" s="23"/>
      <c r="AG16" s="23"/>
    </row>
    <row r="17" spans="1:33" ht="16.5" thickBot="1" x14ac:dyDescent="0.3">
      <c r="A17" s="32">
        <v>14</v>
      </c>
      <c r="B17" s="39"/>
      <c r="C17" s="39"/>
      <c r="D17" s="39"/>
      <c r="E17" s="39"/>
      <c r="F17" s="39"/>
      <c r="G17" s="39"/>
      <c r="H17" s="39"/>
      <c r="I17" s="40"/>
      <c r="J17" s="39"/>
      <c r="K17" s="23"/>
      <c r="L17" s="61"/>
      <c r="M17" s="62"/>
      <c r="N17" s="62"/>
      <c r="O17" s="62"/>
      <c r="P17" s="62"/>
      <c r="Q17" s="62"/>
      <c r="R17" s="62"/>
      <c r="S17" s="62"/>
      <c r="T17" s="62"/>
      <c r="U17" s="62"/>
      <c r="V17" s="62"/>
      <c r="W17" s="62"/>
      <c r="X17" s="62"/>
      <c r="Y17" s="62"/>
      <c r="Z17" s="62"/>
      <c r="AA17" s="62"/>
      <c r="AB17" s="62"/>
      <c r="AC17" s="62"/>
      <c r="AD17" s="62"/>
      <c r="AE17" s="63"/>
      <c r="AF17" s="23"/>
      <c r="AG17" s="23"/>
    </row>
    <row r="18" spans="1:33" x14ac:dyDescent="0.25">
      <c r="A18" s="32">
        <v>15</v>
      </c>
      <c r="B18" s="39"/>
      <c r="C18" s="39"/>
      <c r="D18" s="39"/>
      <c r="E18" s="39"/>
      <c r="F18" s="39"/>
      <c r="G18" s="39"/>
      <c r="H18" s="39"/>
      <c r="I18" s="40"/>
      <c r="J18" s="39"/>
      <c r="K18" s="23"/>
      <c r="L18" s="23"/>
      <c r="M18" s="23"/>
      <c r="N18" s="23"/>
      <c r="O18" s="23"/>
      <c r="P18" s="23"/>
      <c r="Q18" s="23"/>
      <c r="R18" s="23"/>
      <c r="S18" s="23"/>
      <c r="T18" s="23"/>
      <c r="U18" s="23"/>
      <c r="V18" s="23"/>
      <c r="W18" s="23"/>
      <c r="X18" s="23"/>
      <c r="Y18" s="23"/>
      <c r="Z18" s="23"/>
      <c r="AA18" s="23"/>
      <c r="AB18" s="23"/>
      <c r="AC18" s="23"/>
      <c r="AD18" s="23"/>
      <c r="AE18" s="23"/>
      <c r="AF18" s="23"/>
      <c r="AG18" s="23"/>
    </row>
    <row r="19" spans="1:33" x14ac:dyDescent="0.25">
      <c r="A19" s="32">
        <v>16</v>
      </c>
      <c r="B19" s="39"/>
      <c r="C19" s="39"/>
      <c r="D19" s="39"/>
      <c r="E19" s="39"/>
      <c r="F19" s="39"/>
      <c r="G19" s="39"/>
      <c r="H19" s="39"/>
      <c r="I19" s="40"/>
      <c r="J19" s="39"/>
      <c r="K19" s="23"/>
      <c r="L19" s="23"/>
      <c r="M19" s="23"/>
      <c r="N19" s="23"/>
      <c r="O19" s="23"/>
      <c r="P19" s="23"/>
      <c r="Q19" s="23"/>
      <c r="R19" s="23"/>
      <c r="S19" s="23"/>
      <c r="T19" s="23"/>
      <c r="U19" s="23"/>
      <c r="V19" s="23"/>
      <c r="W19" s="23"/>
      <c r="X19" s="23"/>
      <c r="Y19" s="23"/>
      <c r="Z19" s="23"/>
      <c r="AA19" s="23"/>
      <c r="AB19" s="23"/>
      <c r="AC19" s="23"/>
      <c r="AD19" s="23"/>
      <c r="AE19" s="23"/>
      <c r="AF19" s="23"/>
      <c r="AG19" s="23"/>
    </row>
    <row r="20" spans="1:33" x14ac:dyDescent="0.25">
      <c r="A20" s="32">
        <v>17</v>
      </c>
      <c r="B20" s="39"/>
      <c r="C20" s="39"/>
      <c r="D20" s="39"/>
      <c r="E20" s="39"/>
      <c r="F20" s="39"/>
      <c r="G20" s="39"/>
      <c r="H20" s="39"/>
      <c r="I20" s="40"/>
      <c r="J20" s="39"/>
      <c r="K20" s="23"/>
      <c r="L20" s="23"/>
      <c r="M20" s="23"/>
      <c r="N20" s="23"/>
      <c r="O20" s="23"/>
      <c r="P20" s="23"/>
      <c r="Q20" s="23"/>
      <c r="R20" s="23"/>
      <c r="S20" s="23"/>
      <c r="T20" s="23"/>
      <c r="U20" s="23"/>
      <c r="V20" s="23"/>
      <c r="W20" s="23"/>
      <c r="X20" s="23"/>
      <c r="Y20" s="23"/>
      <c r="Z20" s="23"/>
      <c r="AA20" s="23"/>
      <c r="AB20" s="23"/>
      <c r="AC20" s="23"/>
      <c r="AD20" s="23"/>
      <c r="AE20" s="23"/>
      <c r="AF20" s="23"/>
      <c r="AG20" s="23"/>
    </row>
    <row r="21" spans="1:33" x14ac:dyDescent="0.25">
      <c r="A21" s="32">
        <v>18</v>
      </c>
      <c r="B21" s="39"/>
      <c r="C21" s="39"/>
      <c r="D21" s="39"/>
      <c r="E21" s="39"/>
      <c r="F21" s="39"/>
      <c r="G21" s="39"/>
      <c r="H21" s="39"/>
      <c r="I21" s="40"/>
      <c r="J21" s="39"/>
      <c r="K21" s="23"/>
      <c r="L21" s="23"/>
      <c r="M21" s="23"/>
      <c r="N21" s="23"/>
      <c r="O21" s="23"/>
      <c r="P21" s="23"/>
      <c r="Q21" s="23"/>
      <c r="R21" s="23"/>
      <c r="S21" s="23"/>
      <c r="T21" s="23"/>
      <c r="U21" s="23"/>
      <c r="V21" s="23"/>
      <c r="W21" s="23"/>
      <c r="X21" s="23"/>
      <c r="Y21" s="23"/>
      <c r="Z21" s="23"/>
      <c r="AA21" s="23"/>
      <c r="AB21" s="23"/>
      <c r="AC21" s="23"/>
      <c r="AD21" s="23"/>
      <c r="AE21" s="23"/>
      <c r="AF21" s="23"/>
      <c r="AG21" s="23"/>
    </row>
    <row r="22" spans="1:33" x14ac:dyDescent="0.25">
      <c r="A22" s="32">
        <v>19</v>
      </c>
      <c r="B22" s="39"/>
      <c r="C22" s="39"/>
      <c r="D22" s="39"/>
      <c r="E22" s="39"/>
      <c r="F22" s="39"/>
      <c r="G22" s="39"/>
      <c r="H22" s="39"/>
      <c r="I22" s="40"/>
      <c r="J22" s="39"/>
      <c r="K22" s="23"/>
      <c r="L22" s="23"/>
      <c r="M22" s="23"/>
      <c r="N22" s="23"/>
      <c r="O22" s="23"/>
      <c r="P22" s="23"/>
      <c r="Q22" s="23"/>
      <c r="R22" s="23"/>
      <c r="S22" s="23"/>
      <c r="T22" s="23"/>
      <c r="U22" s="23"/>
      <c r="V22" s="23"/>
      <c r="W22" s="23"/>
      <c r="X22" s="23"/>
      <c r="Y22" s="23"/>
      <c r="Z22" s="23"/>
      <c r="AA22" s="23"/>
      <c r="AB22" s="23"/>
      <c r="AC22" s="23"/>
      <c r="AD22" s="23"/>
      <c r="AE22" s="23"/>
      <c r="AF22" s="23"/>
      <c r="AG22" s="23"/>
    </row>
    <row r="23" spans="1:33" x14ac:dyDescent="0.25">
      <c r="A23" s="32">
        <v>20</v>
      </c>
      <c r="B23" s="39"/>
      <c r="C23" s="39"/>
      <c r="D23" s="39"/>
      <c r="E23" s="39"/>
      <c r="F23" s="39"/>
      <c r="G23" s="39"/>
      <c r="H23" s="39"/>
      <c r="I23" s="40"/>
      <c r="J23" s="39"/>
      <c r="K23" s="23"/>
      <c r="L23" s="23"/>
      <c r="M23" s="23"/>
      <c r="N23" s="23"/>
      <c r="O23" s="23"/>
      <c r="P23" s="23"/>
      <c r="Q23" s="23"/>
      <c r="R23" s="23"/>
      <c r="S23" s="23"/>
      <c r="T23" s="23"/>
      <c r="U23" s="23"/>
      <c r="V23" s="23"/>
      <c r="W23" s="23"/>
      <c r="X23" s="23"/>
      <c r="Y23" s="23"/>
      <c r="Z23" s="23"/>
      <c r="AA23" s="23"/>
      <c r="AB23" s="23"/>
      <c r="AC23" s="23"/>
      <c r="AD23" s="23"/>
      <c r="AE23" s="23"/>
      <c r="AF23" s="23"/>
      <c r="AG23" s="23"/>
    </row>
    <row r="24" spans="1:33" x14ac:dyDescent="0.25">
      <c r="A24" s="32">
        <v>21</v>
      </c>
      <c r="B24" s="39"/>
      <c r="C24" s="39"/>
      <c r="D24" s="39"/>
      <c r="E24" s="39"/>
      <c r="F24" s="39"/>
      <c r="G24" s="39"/>
      <c r="H24" s="39"/>
      <c r="I24" s="40"/>
      <c r="J24" s="39"/>
      <c r="K24" s="23"/>
      <c r="L24" s="23"/>
      <c r="M24" s="23"/>
      <c r="N24" s="23"/>
      <c r="O24" s="23"/>
      <c r="P24" s="23"/>
      <c r="Q24" s="23"/>
      <c r="R24" s="23"/>
      <c r="S24" s="23"/>
      <c r="T24" s="23"/>
      <c r="U24" s="23"/>
      <c r="V24" s="23"/>
      <c r="W24" s="23"/>
      <c r="X24" s="23"/>
      <c r="Y24" s="23"/>
      <c r="Z24" s="23"/>
      <c r="AA24" s="23"/>
      <c r="AB24" s="23"/>
      <c r="AC24" s="23"/>
      <c r="AD24" s="23"/>
      <c r="AE24" s="23"/>
      <c r="AF24" s="23"/>
      <c r="AG24" s="23"/>
    </row>
    <row r="25" spans="1:33" x14ac:dyDescent="0.25">
      <c r="A25" s="32">
        <v>22</v>
      </c>
      <c r="B25" s="39"/>
      <c r="C25" s="39"/>
      <c r="D25" s="39"/>
      <c r="E25" s="39"/>
      <c r="F25" s="39"/>
      <c r="G25" s="39"/>
      <c r="H25" s="39"/>
      <c r="I25" s="40"/>
      <c r="J25" s="39"/>
      <c r="K25" s="23"/>
      <c r="L25" s="23"/>
      <c r="M25" s="23"/>
      <c r="N25" s="23"/>
      <c r="O25" s="23"/>
      <c r="P25" s="23"/>
      <c r="Q25" s="23"/>
      <c r="R25" s="23"/>
      <c r="S25" s="23"/>
      <c r="T25" s="23"/>
      <c r="U25" s="23"/>
      <c r="V25" s="23"/>
      <c r="W25" s="23"/>
      <c r="X25" s="23"/>
      <c r="Y25" s="23"/>
      <c r="Z25" s="23"/>
      <c r="AA25" s="23"/>
      <c r="AB25" s="23"/>
      <c r="AC25" s="23"/>
      <c r="AD25" s="23"/>
      <c r="AE25" s="23"/>
      <c r="AF25" s="23"/>
      <c r="AG25" s="23"/>
    </row>
    <row r="26" spans="1:33" x14ac:dyDescent="0.25">
      <c r="A26" s="32">
        <v>23</v>
      </c>
      <c r="B26" s="39"/>
      <c r="C26" s="39"/>
      <c r="D26" s="39"/>
      <c r="E26" s="39"/>
      <c r="F26" s="39"/>
      <c r="G26" s="39"/>
      <c r="H26" s="39"/>
      <c r="I26" s="40"/>
      <c r="J26" s="39"/>
      <c r="K26" s="23"/>
      <c r="L26" s="23"/>
      <c r="M26" s="23"/>
      <c r="N26" s="23"/>
      <c r="O26" s="23"/>
      <c r="P26" s="23"/>
      <c r="Q26" s="23"/>
      <c r="R26" s="23"/>
      <c r="S26" s="23"/>
      <c r="T26" s="23"/>
      <c r="U26" s="23"/>
      <c r="V26" s="23"/>
      <c r="W26" s="23"/>
      <c r="X26" s="23"/>
      <c r="Y26" s="23"/>
      <c r="Z26" s="23"/>
      <c r="AA26" s="23"/>
      <c r="AB26" s="23"/>
      <c r="AC26" s="23"/>
      <c r="AD26" s="23"/>
      <c r="AE26" s="23"/>
      <c r="AF26" s="23"/>
      <c r="AG26" s="23"/>
    </row>
    <row r="27" spans="1:33" x14ac:dyDescent="0.25">
      <c r="A27" s="32">
        <v>24</v>
      </c>
      <c r="B27" s="39"/>
      <c r="C27" s="39"/>
      <c r="D27" s="39"/>
      <c r="E27" s="39"/>
      <c r="F27" s="39"/>
      <c r="G27" s="39"/>
      <c r="H27" s="39"/>
      <c r="I27" s="40"/>
      <c r="J27" s="39"/>
      <c r="K27" s="23"/>
      <c r="L27" s="23"/>
      <c r="M27" s="23"/>
      <c r="N27" s="23"/>
      <c r="O27" s="23"/>
      <c r="P27" s="23"/>
      <c r="Q27" s="23"/>
      <c r="R27" s="23"/>
      <c r="S27" s="23"/>
      <c r="T27" s="23"/>
      <c r="U27" s="23"/>
      <c r="V27" s="23"/>
      <c r="W27" s="23"/>
      <c r="X27" s="23"/>
      <c r="Y27" s="23"/>
      <c r="Z27" s="23"/>
      <c r="AA27" s="23"/>
      <c r="AB27" s="23"/>
      <c r="AC27" s="23"/>
      <c r="AD27" s="23"/>
      <c r="AE27" s="23"/>
      <c r="AF27" s="23"/>
      <c r="AG27" s="23"/>
    </row>
    <row r="28" spans="1:33" x14ac:dyDescent="0.25">
      <c r="A28" s="32">
        <v>25</v>
      </c>
      <c r="B28" s="39"/>
      <c r="C28" s="39"/>
      <c r="D28" s="39"/>
      <c r="E28" s="39"/>
      <c r="F28" s="39"/>
      <c r="G28" s="39"/>
      <c r="H28" s="39"/>
      <c r="I28" s="40"/>
      <c r="J28" s="39"/>
      <c r="K28" s="23"/>
      <c r="L28" s="23"/>
      <c r="M28" s="23"/>
      <c r="N28" s="23"/>
      <c r="O28" s="23"/>
      <c r="P28" s="23"/>
      <c r="Q28" s="23"/>
      <c r="R28" s="23"/>
      <c r="S28" s="23"/>
      <c r="T28" s="23"/>
      <c r="U28" s="23"/>
      <c r="V28" s="23"/>
      <c r="W28" s="23"/>
      <c r="X28" s="23"/>
      <c r="Y28" s="23"/>
      <c r="Z28" s="23"/>
      <c r="AA28" s="23"/>
      <c r="AB28" s="23"/>
      <c r="AC28" s="23"/>
      <c r="AD28" s="23"/>
      <c r="AE28" s="23"/>
      <c r="AF28" s="23"/>
      <c r="AG28" s="23"/>
    </row>
  </sheetData>
  <mergeCells count="11">
    <mergeCell ref="P12:U12"/>
    <mergeCell ref="Y12:AD12"/>
    <mergeCell ref="Y14:AD14"/>
    <mergeCell ref="L16:AE16"/>
    <mergeCell ref="L4:AE4"/>
    <mergeCell ref="P6:U6"/>
    <mergeCell ref="Y6:AD6"/>
    <mergeCell ref="P8:U8"/>
    <mergeCell ref="Y8:AD8"/>
    <mergeCell ref="P10:U10"/>
    <mergeCell ref="Y10:AD10"/>
  </mergeCells>
  <pageMargins left="0.7" right="0.7" top="0.75" bottom="0.75" header="0.3" footer="0.3"/>
  <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dimension ref="A1:AF28"/>
  <sheetViews>
    <sheetView showGridLines="0" workbookViewId="0">
      <selection activeCell="D33" sqref="D33"/>
    </sheetView>
  </sheetViews>
  <sheetFormatPr defaultRowHeight="15.75" x14ac:dyDescent="0.25"/>
  <cols>
    <col min="1" max="1" width="7.875" bestFit="1" customWidth="1"/>
    <col min="2" max="3" width="10" bestFit="1" customWidth="1"/>
    <col min="4" max="4" width="19" bestFit="1" customWidth="1"/>
    <col min="5" max="5" width="8.375" bestFit="1" customWidth="1"/>
    <col min="6" max="6" width="5.375" bestFit="1" customWidth="1"/>
    <col min="7" max="7" width="5.875" bestFit="1" customWidth="1"/>
    <col min="8" max="8" width="11.875" bestFit="1" customWidth="1"/>
    <col min="9" max="9" width="11.875" customWidth="1"/>
    <col min="10" max="10" width="12.125" bestFit="1" customWidth="1"/>
    <col min="11" max="11" width="3.75" customWidth="1"/>
    <col min="12" max="31" width="3.625" customWidth="1"/>
    <col min="32" max="32" width="3" customWidth="1"/>
  </cols>
  <sheetData>
    <row r="1" spans="1:32" x14ac:dyDescent="0.25">
      <c r="A1" s="16"/>
      <c r="B1" s="16"/>
      <c r="C1" s="16"/>
      <c r="D1" s="16"/>
      <c r="E1" s="16"/>
      <c r="F1" s="16"/>
      <c r="G1" s="16"/>
      <c r="H1" s="16"/>
      <c r="I1" s="16"/>
      <c r="J1" s="16"/>
      <c r="K1" s="16"/>
      <c r="L1" s="16"/>
      <c r="M1" s="16"/>
      <c r="N1" s="16"/>
      <c r="O1" s="16"/>
      <c r="P1" s="16"/>
      <c r="Q1" s="16"/>
      <c r="R1" s="16"/>
      <c r="S1" s="17">
        <f t="shared" ref="S1:AB1" si="0">VLOOKUP(MAX($A$3:$A$147),$A$3:$H$147,2)</f>
        <v>0</v>
      </c>
      <c r="T1" s="17">
        <f t="shared" si="0"/>
        <v>0</v>
      </c>
      <c r="U1" s="17">
        <f t="shared" si="0"/>
        <v>0</v>
      </c>
      <c r="V1" s="17">
        <f t="shared" si="0"/>
        <v>0</v>
      </c>
      <c r="W1" s="17">
        <f t="shared" si="0"/>
        <v>0</v>
      </c>
      <c r="X1" s="17">
        <f t="shared" si="0"/>
        <v>0</v>
      </c>
      <c r="Y1" s="17">
        <f t="shared" si="0"/>
        <v>0</v>
      </c>
      <c r="Z1" s="17">
        <f t="shared" si="0"/>
        <v>0</v>
      </c>
      <c r="AA1" s="17">
        <f t="shared" si="0"/>
        <v>0</v>
      </c>
      <c r="AB1" s="17">
        <f t="shared" si="0"/>
        <v>0</v>
      </c>
      <c r="AC1" s="18"/>
      <c r="AD1" s="18"/>
      <c r="AE1" s="18"/>
      <c r="AF1" s="18"/>
    </row>
    <row r="2" spans="1:32" ht="16.5" thickBot="1" x14ac:dyDescent="0.3">
      <c r="A2" s="73"/>
      <c r="B2" s="20"/>
      <c r="C2" s="20"/>
      <c r="D2" s="20"/>
      <c r="E2" s="20"/>
      <c r="F2" s="20"/>
      <c r="G2" s="20"/>
      <c r="H2" s="20"/>
      <c r="I2" s="22"/>
      <c r="J2" s="20"/>
      <c r="K2" s="23"/>
      <c r="L2" s="23"/>
      <c r="M2" s="23"/>
      <c r="N2" s="23"/>
      <c r="O2" s="23"/>
      <c r="P2" s="23"/>
      <c r="Q2" s="23"/>
      <c r="R2" s="23"/>
      <c r="S2" s="23"/>
      <c r="T2" s="23"/>
      <c r="U2" s="23"/>
      <c r="V2" s="23"/>
      <c r="W2" s="23"/>
      <c r="X2" s="23"/>
      <c r="Y2" s="23"/>
      <c r="Z2" s="23"/>
      <c r="AA2" s="23"/>
      <c r="AB2" s="23"/>
      <c r="AC2" s="23"/>
      <c r="AD2" s="23"/>
      <c r="AE2" s="23"/>
      <c r="AF2" s="23"/>
    </row>
    <row r="3" spans="1:32" x14ac:dyDescent="0.25">
      <c r="A3" s="68" t="s">
        <v>38</v>
      </c>
      <c r="B3" s="69" t="s">
        <v>39</v>
      </c>
      <c r="C3" s="69" t="s">
        <v>40</v>
      </c>
      <c r="D3" s="69" t="s">
        <v>41</v>
      </c>
      <c r="E3" s="68" t="s">
        <v>42</v>
      </c>
      <c r="F3" s="68" t="s">
        <v>43</v>
      </c>
      <c r="G3" s="68" t="s">
        <v>44</v>
      </c>
      <c r="H3" s="68" t="s">
        <v>45</v>
      </c>
      <c r="I3" s="68" t="s">
        <v>46</v>
      </c>
      <c r="J3" s="68" t="s">
        <v>47</v>
      </c>
      <c r="K3" s="23"/>
      <c r="L3" s="29"/>
      <c r="M3" s="30"/>
      <c r="N3" s="30"/>
      <c r="O3" s="30"/>
      <c r="P3" s="30"/>
      <c r="Q3" s="30"/>
      <c r="R3" s="30"/>
      <c r="S3" s="30"/>
      <c r="T3" s="30"/>
      <c r="U3" s="30"/>
      <c r="V3" s="30"/>
      <c r="W3" s="30"/>
      <c r="X3" s="30"/>
      <c r="Y3" s="30"/>
      <c r="Z3" s="30"/>
      <c r="AA3" s="30"/>
      <c r="AB3" s="30"/>
      <c r="AC3" s="30"/>
      <c r="AD3" s="30"/>
      <c r="AE3" s="31"/>
      <c r="AF3" s="23"/>
    </row>
    <row r="4" spans="1:32" x14ac:dyDescent="0.25">
      <c r="A4" s="32">
        <v>1</v>
      </c>
      <c r="B4" s="33" t="s">
        <v>48</v>
      </c>
      <c r="C4" s="34" t="s">
        <v>49</v>
      </c>
      <c r="D4" s="34" t="s">
        <v>50</v>
      </c>
      <c r="E4" s="34" t="s">
        <v>51</v>
      </c>
      <c r="F4" s="35" t="s">
        <v>52</v>
      </c>
      <c r="G4" s="35">
        <v>30062</v>
      </c>
      <c r="H4" s="33" t="s">
        <v>53</v>
      </c>
      <c r="I4" s="37" t="s">
        <v>54</v>
      </c>
      <c r="J4" s="70">
        <v>157665</v>
      </c>
      <c r="K4" s="23"/>
      <c r="L4" s="300" t="s">
        <v>55</v>
      </c>
      <c r="M4" s="301"/>
      <c r="N4" s="301"/>
      <c r="O4" s="301"/>
      <c r="P4" s="301"/>
      <c r="Q4" s="301"/>
      <c r="R4" s="301"/>
      <c r="S4" s="301"/>
      <c r="T4" s="301"/>
      <c r="U4" s="301"/>
      <c r="V4" s="301"/>
      <c r="W4" s="301"/>
      <c r="X4" s="301"/>
      <c r="Y4" s="301"/>
      <c r="Z4" s="301"/>
      <c r="AA4" s="301"/>
      <c r="AB4" s="301"/>
      <c r="AC4" s="301"/>
      <c r="AD4" s="301"/>
      <c r="AE4" s="302"/>
      <c r="AF4" s="23"/>
    </row>
    <row r="5" spans="1:32" x14ac:dyDescent="0.25">
      <c r="A5" s="32">
        <v>2</v>
      </c>
      <c r="B5" s="39" t="s">
        <v>56</v>
      </c>
      <c r="C5" s="39" t="s">
        <v>57</v>
      </c>
      <c r="D5" s="39" t="s">
        <v>58</v>
      </c>
      <c r="E5" s="39" t="s">
        <v>51</v>
      </c>
      <c r="F5" s="40" t="s">
        <v>52</v>
      </c>
      <c r="G5" s="40">
        <v>30063</v>
      </c>
      <c r="H5" s="42" t="s">
        <v>59</v>
      </c>
      <c r="I5" s="43" t="s">
        <v>60</v>
      </c>
      <c r="J5" s="71">
        <v>156340</v>
      </c>
      <c r="K5" s="23"/>
      <c r="L5" s="45"/>
      <c r="M5" s="46"/>
      <c r="N5" s="46"/>
      <c r="O5" s="46"/>
      <c r="P5" s="46"/>
      <c r="Q5" s="46"/>
      <c r="R5" s="46"/>
      <c r="S5" s="46"/>
      <c r="T5" s="46"/>
      <c r="U5" s="46"/>
      <c r="V5" s="46"/>
      <c r="W5" s="46"/>
      <c r="X5" s="46"/>
      <c r="Y5" s="46"/>
      <c r="Z5" s="46"/>
      <c r="AA5" s="46"/>
      <c r="AB5" s="46"/>
      <c r="AC5" s="46"/>
      <c r="AD5" s="46"/>
      <c r="AE5" s="47"/>
      <c r="AF5" s="23"/>
    </row>
    <row r="6" spans="1:32" x14ac:dyDescent="0.25">
      <c r="A6" s="32">
        <v>3</v>
      </c>
      <c r="B6" s="39" t="s">
        <v>61</v>
      </c>
      <c r="C6" s="42" t="s">
        <v>62</v>
      </c>
      <c r="D6" s="39" t="s">
        <v>63</v>
      </c>
      <c r="E6" s="39" t="s">
        <v>51</v>
      </c>
      <c r="F6" s="40" t="s">
        <v>52</v>
      </c>
      <c r="G6" s="40">
        <v>30064</v>
      </c>
      <c r="H6" s="42" t="s">
        <v>64</v>
      </c>
      <c r="I6" s="43" t="s">
        <v>65</v>
      </c>
      <c r="J6" s="71">
        <v>81480</v>
      </c>
      <c r="K6" s="23"/>
      <c r="L6" s="45"/>
      <c r="M6" s="48" t="s">
        <v>39</v>
      </c>
      <c r="N6" s="46"/>
      <c r="O6" s="46"/>
      <c r="P6" s="49" t="str">
        <f>VLOOKUP(COUNTIF($B$4:$B$104,"&lt;&gt;"&amp;""),$A$4:$J$104,2)</f>
        <v>Collins</v>
      </c>
      <c r="Q6" s="50"/>
      <c r="R6" s="50"/>
      <c r="S6" s="50"/>
      <c r="T6" s="50"/>
      <c r="U6" s="51"/>
      <c r="V6" s="46"/>
      <c r="W6" s="52" t="s">
        <v>42</v>
      </c>
      <c r="X6" s="46"/>
      <c r="Y6" s="49" t="str">
        <f>VLOOKUP(COUNTIF($B$4:$B$104,"&lt;&gt;"&amp;""),$A$4:$J$104,5)</f>
        <v>Norcross</v>
      </c>
      <c r="Z6" s="50"/>
      <c r="AA6" s="50"/>
      <c r="AB6" s="50"/>
      <c r="AC6" s="50"/>
      <c r="AD6" s="51"/>
      <c r="AE6" s="47"/>
      <c r="AF6" s="23"/>
    </row>
    <row r="7" spans="1:32" x14ac:dyDescent="0.25">
      <c r="A7" s="32">
        <v>4</v>
      </c>
      <c r="B7" s="39" t="s">
        <v>66</v>
      </c>
      <c r="C7" s="42" t="s">
        <v>67</v>
      </c>
      <c r="D7" s="39" t="s">
        <v>68</v>
      </c>
      <c r="E7" s="39" t="s">
        <v>51</v>
      </c>
      <c r="F7" s="40" t="s">
        <v>52</v>
      </c>
      <c r="G7" s="40">
        <v>30065</v>
      </c>
      <c r="H7" s="42" t="s">
        <v>69</v>
      </c>
      <c r="I7" s="43" t="s">
        <v>54</v>
      </c>
      <c r="J7" s="71">
        <v>202578</v>
      </c>
      <c r="K7" s="23"/>
      <c r="L7" s="45"/>
      <c r="M7" s="46"/>
      <c r="N7" s="46"/>
      <c r="O7" s="46"/>
      <c r="P7" s="46"/>
      <c r="Q7" s="46"/>
      <c r="R7" s="46"/>
      <c r="S7" s="46"/>
      <c r="T7" s="46"/>
      <c r="U7" s="46"/>
      <c r="V7" s="46"/>
      <c r="W7" s="46"/>
      <c r="X7" s="46"/>
      <c r="Y7" s="46"/>
      <c r="Z7" s="46"/>
      <c r="AA7" s="46"/>
      <c r="AB7" s="46"/>
      <c r="AC7" s="46"/>
      <c r="AD7" s="46"/>
      <c r="AE7" s="47"/>
      <c r="AF7" s="23"/>
    </row>
    <row r="8" spans="1:32" x14ac:dyDescent="0.25">
      <c r="A8" s="32">
        <v>5</v>
      </c>
      <c r="B8" s="42" t="s">
        <v>70</v>
      </c>
      <c r="C8" s="39" t="s">
        <v>71</v>
      </c>
      <c r="D8" s="39" t="s">
        <v>72</v>
      </c>
      <c r="E8" s="39" t="s">
        <v>51</v>
      </c>
      <c r="F8" s="40" t="s">
        <v>52</v>
      </c>
      <c r="G8" s="40">
        <v>30066</v>
      </c>
      <c r="H8" s="42" t="s">
        <v>73</v>
      </c>
      <c r="I8" s="43" t="s">
        <v>60</v>
      </c>
      <c r="J8" s="71">
        <v>177209</v>
      </c>
      <c r="K8" s="23"/>
      <c r="L8" s="45"/>
      <c r="M8" s="48" t="s">
        <v>40</v>
      </c>
      <c r="N8" s="46"/>
      <c r="O8" s="46"/>
      <c r="P8" s="49" t="str">
        <f>VLOOKUP(COUNTIF($B$4:$B$104,"&lt;&gt;"&amp;""),$A$4:$J$104,3)</f>
        <v>Carlton</v>
      </c>
      <c r="Q8" s="50"/>
      <c r="R8" s="50"/>
      <c r="S8" s="50"/>
      <c r="T8" s="50"/>
      <c r="U8" s="51"/>
      <c r="V8" s="46"/>
      <c r="W8" s="52" t="s">
        <v>43</v>
      </c>
      <c r="X8" s="46"/>
      <c r="Y8" s="49" t="str">
        <f>VLOOKUP(COUNTIF($B$4:$B$104,"&lt;&gt;"&amp;""),$A$4:$J$104,6)</f>
        <v xml:space="preserve">GA </v>
      </c>
      <c r="Z8" s="50"/>
      <c r="AA8" s="50"/>
      <c r="AB8" s="50"/>
      <c r="AC8" s="50"/>
      <c r="AD8" s="51"/>
      <c r="AE8" s="47"/>
      <c r="AF8" s="23"/>
    </row>
    <row r="9" spans="1:32" x14ac:dyDescent="0.25">
      <c r="A9" s="32">
        <v>6</v>
      </c>
      <c r="B9" s="39" t="s">
        <v>74</v>
      </c>
      <c r="C9" s="39" t="s">
        <v>75</v>
      </c>
      <c r="D9" s="39" t="s">
        <v>76</v>
      </c>
      <c r="E9" s="39" t="s">
        <v>77</v>
      </c>
      <c r="F9" s="40" t="s">
        <v>52</v>
      </c>
      <c r="G9" s="40">
        <v>30092</v>
      </c>
      <c r="H9" s="42" t="s">
        <v>78</v>
      </c>
      <c r="I9" s="43" t="s">
        <v>65</v>
      </c>
      <c r="J9" s="71">
        <v>212254.23</v>
      </c>
      <c r="K9" s="23"/>
      <c r="L9" s="45"/>
      <c r="M9" s="46"/>
      <c r="N9" s="46"/>
      <c r="O9" s="46"/>
      <c r="P9" s="46"/>
      <c r="Q9" s="46"/>
      <c r="R9" s="46"/>
      <c r="S9" s="46"/>
      <c r="T9" s="46"/>
      <c r="U9" s="46"/>
      <c r="V9" s="46"/>
      <c r="W9" s="46"/>
      <c r="X9" s="46"/>
      <c r="Y9" s="46"/>
      <c r="Z9" s="46"/>
      <c r="AA9" s="46"/>
      <c r="AB9" s="46"/>
      <c r="AC9" s="46"/>
      <c r="AD9" s="46"/>
      <c r="AE9" s="47"/>
      <c r="AF9" s="23"/>
    </row>
    <row r="10" spans="1:32" x14ac:dyDescent="0.25">
      <c r="A10" s="32">
        <v>7</v>
      </c>
      <c r="B10" s="39" t="s">
        <v>79</v>
      </c>
      <c r="C10" s="39" t="s">
        <v>80</v>
      </c>
      <c r="D10" s="39" t="s">
        <v>50</v>
      </c>
      <c r="E10" s="39" t="s">
        <v>81</v>
      </c>
      <c r="F10" s="40" t="s">
        <v>82</v>
      </c>
      <c r="G10" s="40">
        <v>30092</v>
      </c>
      <c r="H10" s="42" t="s">
        <v>53</v>
      </c>
      <c r="I10" s="43" t="s">
        <v>54</v>
      </c>
      <c r="J10" s="71">
        <v>124533.45</v>
      </c>
      <c r="K10" s="23"/>
      <c r="L10" s="45"/>
      <c r="M10" s="48" t="s">
        <v>41</v>
      </c>
      <c r="N10" s="46"/>
      <c r="O10" s="46"/>
      <c r="P10" s="49" t="str">
        <f>VLOOKUP(COUNTIF($B$4:$B$104,"&lt;&gt;"&amp;""),$A$4:$J$104,4)</f>
        <v>100 Peachtree Street</v>
      </c>
      <c r="Q10" s="50"/>
      <c r="R10" s="50"/>
      <c r="S10" s="50"/>
      <c r="T10" s="50"/>
      <c r="U10" s="51"/>
      <c r="V10" s="46"/>
      <c r="W10" s="52" t="s">
        <v>44</v>
      </c>
      <c r="X10" s="46"/>
      <c r="Y10" s="49" t="str">
        <f>TEXT(VLOOKUP(COUNTIF($B$4:$B$104,"&lt;&gt;"&amp;""),$A$4:$J$104,7),0)</f>
        <v>30092</v>
      </c>
      <c r="Z10" s="50"/>
      <c r="AA10" s="50"/>
      <c r="AB10" s="50"/>
      <c r="AC10" s="50"/>
      <c r="AD10" s="51"/>
      <c r="AE10" s="47"/>
      <c r="AF10" s="23"/>
    </row>
    <row r="11" spans="1:32" x14ac:dyDescent="0.25">
      <c r="A11" s="32">
        <v>8</v>
      </c>
      <c r="B11" s="39"/>
      <c r="C11" s="39"/>
      <c r="D11" s="39"/>
      <c r="E11" s="39"/>
      <c r="F11" s="39"/>
      <c r="G11" s="39"/>
      <c r="H11" s="39"/>
      <c r="I11" s="40"/>
      <c r="J11" s="39"/>
      <c r="K11" s="23"/>
      <c r="L11" s="45"/>
      <c r="M11" s="46"/>
      <c r="N11" s="46"/>
      <c r="O11" s="46"/>
      <c r="P11" s="46"/>
      <c r="Q11" s="46"/>
      <c r="R11" s="46"/>
      <c r="S11" s="46"/>
      <c r="T11" s="46"/>
      <c r="U11" s="46"/>
      <c r="V11" s="46"/>
      <c r="W11" s="46"/>
      <c r="X11" s="46"/>
      <c r="Y11" s="46"/>
      <c r="Z11" s="46"/>
      <c r="AA11" s="46"/>
      <c r="AB11" s="46"/>
      <c r="AC11" s="46"/>
      <c r="AD11" s="46"/>
      <c r="AE11" s="47"/>
      <c r="AF11" s="23"/>
    </row>
    <row r="12" spans="1:32" x14ac:dyDescent="0.25">
      <c r="A12" s="32">
        <v>9</v>
      </c>
      <c r="B12" s="39"/>
      <c r="C12" s="39"/>
      <c r="D12" s="39"/>
      <c r="E12" s="39"/>
      <c r="F12" s="39"/>
      <c r="G12" s="39"/>
      <c r="H12" s="39"/>
      <c r="I12" s="40"/>
      <c r="J12" s="39"/>
      <c r="K12" s="23"/>
      <c r="L12" s="45"/>
      <c r="M12" s="52" t="s">
        <v>45</v>
      </c>
      <c r="N12" s="46"/>
      <c r="O12" s="46"/>
      <c r="P12" s="49" t="str">
        <f>VLOOKUP(COUNTIF($B$4:$B$104,"&lt;&gt;"&amp;""),$A$4:$J$104,8)</f>
        <v>770.842.5902</v>
      </c>
      <c r="Q12" s="50"/>
      <c r="R12" s="50"/>
      <c r="S12" s="50"/>
      <c r="T12" s="50"/>
      <c r="U12" s="51"/>
      <c r="V12" s="46"/>
      <c r="W12" s="60" t="s">
        <v>99</v>
      </c>
      <c r="X12" s="46"/>
      <c r="Y12" s="49" t="str">
        <f>VLOOKUP(COUNTIF($B$4:$B$104,"&lt;&gt;"&amp;""),$A$4:$J$104,9)</f>
        <v>Plan A</v>
      </c>
      <c r="Z12" s="50"/>
      <c r="AA12" s="50"/>
      <c r="AB12" s="50"/>
      <c r="AC12" s="50"/>
      <c r="AD12" s="51"/>
      <c r="AE12" s="47"/>
      <c r="AF12" s="23"/>
    </row>
    <row r="13" spans="1:32" x14ac:dyDescent="0.25">
      <c r="A13" s="32">
        <v>10</v>
      </c>
      <c r="B13" s="39"/>
      <c r="C13" s="39"/>
      <c r="D13" s="39"/>
      <c r="E13" s="39"/>
      <c r="F13" s="39"/>
      <c r="G13" s="39"/>
      <c r="H13" s="39"/>
      <c r="I13" s="40"/>
      <c r="J13" s="39"/>
      <c r="K13" s="23"/>
      <c r="L13" s="45"/>
      <c r="M13" s="46"/>
      <c r="N13" s="46"/>
      <c r="O13" s="46"/>
      <c r="P13" s="46"/>
      <c r="Q13" s="46"/>
      <c r="R13" s="46"/>
      <c r="S13" s="46"/>
      <c r="T13" s="46"/>
      <c r="U13" s="46"/>
      <c r="V13" s="46"/>
      <c r="W13" s="46"/>
      <c r="X13" s="46"/>
      <c r="Y13" s="46"/>
      <c r="Z13" s="46"/>
      <c r="AA13" s="46"/>
      <c r="AB13" s="46"/>
      <c r="AC13" s="46"/>
      <c r="AD13" s="46"/>
      <c r="AE13" s="47"/>
      <c r="AF13" s="23"/>
    </row>
    <row r="14" spans="1:32" x14ac:dyDescent="0.25">
      <c r="A14" s="32">
        <v>11</v>
      </c>
      <c r="B14" s="39"/>
      <c r="C14" s="39"/>
      <c r="D14" s="39"/>
      <c r="E14" s="39"/>
      <c r="F14" s="39"/>
      <c r="G14" s="39"/>
      <c r="H14" s="39"/>
      <c r="I14" s="40"/>
      <c r="J14" s="39"/>
      <c r="K14" s="23"/>
      <c r="L14" s="45"/>
      <c r="M14" s="52" t="s">
        <v>90</v>
      </c>
      <c r="N14" s="46"/>
      <c r="O14" s="46"/>
      <c r="P14" s="46"/>
      <c r="Q14" s="46"/>
      <c r="R14" s="46"/>
      <c r="S14" s="46"/>
      <c r="T14" s="46"/>
      <c r="U14" s="46"/>
      <c r="V14" s="46"/>
      <c r="W14" s="46"/>
      <c r="X14" s="46"/>
      <c r="Y14" s="49" t="str">
        <f>TEXT(VLOOKUP(COUNTIF($B$4:$B$104,"&lt;&gt;"&amp;""),$A$4:$J$104,10),"$#,###.##")</f>
        <v>$124,533.45</v>
      </c>
      <c r="Z14" s="50"/>
      <c r="AA14" s="50"/>
      <c r="AB14" s="50"/>
      <c r="AC14" s="50"/>
      <c r="AD14" s="51"/>
      <c r="AE14" s="47"/>
      <c r="AF14" s="23"/>
    </row>
    <row r="15" spans="1:32" x14ac:dyDescent="0.25">
      <c r="A15" s="32">
        <v>12</v>
      </c>
      <c r="B15" s="39"/>
      <c r="C15" s="39"/>
      <c r="D15" s="39"/>
      <c r="E15" s="39"/>
      <c r="F15" s="39"/>
      <c r="G15" s="39"/>
      <c r="H15" s="39"/>
      <c r="I15" s="40"/>
      <c r="J15" s="39"/>
      <c r="K15" s="23"/>
      <c r="L15" s="45"/>
      <c r="M15" s="46"/>
      <c r="N15" s="46"/>
      <c r="O15" s="46"/>
      <c r="P15" s="46"/>
      <c r="Q15" s="46"/>
      <c r="R15" s="46"/>
      <c r="S15" s="46"/>
      <c r="T15" s="46"/>
      <c r="U15" s="46"/>
      <c r="V15" s="46"/>
      <c r="W15" s="46"/>
      <c r="X15" s="46"/>
      <c r="Y15" s="46"/>
      <c r="Z15" s="46"/>
      <c r="AA15" s="46"/>
      <c r="AB15" s="46"/>
      <c r="AC15" s="46"/>
      <c r="AD15" s="46"/>
      <c r="AE15" s="47"/>
      <c r="AF15" s="23"/>
    </row>
    <row r="16" spans="1:32" x14ac:dyDescent="0.25">
      <c r="A16" s="32">
        <v>13</v>
      </c>
      <c r="B16" s="39"/>
      <c r="C16" s="39"/>
      <c r="D16" s="39"/>
      <c r="E16" s="39"/>
      <c r="F16" s="39"/>
      <c r="G16" s="39"/>
      <c r="H16" s="39"/>
      <c r="I16" s="40"/>
      <c r="J16" s="39"/>
      <c r="K16" s="23"/>
      <c r="L16" s="303" t="s">
        <v>91</v>
      </c>
      <c r="M16" s="304"/>
      <c r="N16" s="304"/>
      <c r="O16" s="304"/>
      <c r="P16" s="304"/>
      <c r="Q16" s="304"/>
      <c r="R16" s="304"/>
      <c r="S16" s="304"/>
      <c r="T16" s="304"/>
      <c r="U16" s="304"/>
      <c r="V16" s="304"/>
      <c r="W16" s="304"/>
      <c r="X16" s="304"/>
      <c r="Y16" s="304"/>
      <c r="Z16" s="304"/>
      <c r="AA16" s="304"/>
      <c r="AB16" s="304"/>
      <c r="AC16" s="304"/>
      <c r="AD16" s="304"/>
      <c r="AE16" s="305"/>
      <c r="AF16" s="23"/>
    </row>
    <row r="17" spans="1:32" ht="16.5" thickBot="1" x14ac:dyDescent="0.3">
      <c r="A17" s="32">
        <v>14</v>
      </c>
      <c r="B17" s="39"/>
      <c r="C17" s="39"/>
      <c r="D17" s="39"/>
      <c r="E17" s="39"/>
      <c r="F17" s="39"/>
      <c r="G17" s="39"/>
      <c r="H17" s="39"/>
      <c r="I17" s="40"/>
      <c r="J17" s="39"/>
      <c r="K17" s="23"/>
      <c r="L17" s="61"/>
      <c r="M17" s="62"/>
      <c r="N17" s="62"/>
      <c r="O17" s="62"/>
      <c r="P17" s="62"/>
      <c r="Q17" s="62"/>
      <c r="R17" s="62"/>
      <c r="S17" s="62"/>
      <c r="T17" s="62"/>
      <c r="U17" s="62"/>
      <c r="V17" s="62"/>
      <c r="W17" s="62"/>
      <c r="X17" s="62"/>
      <c r="Y17" s="62"/>
      <c r="Z17" s="62"/>
      <c r="AA17" s="62"/>
      <c r="AB17" s="62"/>
      <c r="AC17" s="62"/>
      <c r="AD17" s="62"/>
      <c r="AE17" s="63"/>
      <c r="AF17" s="23"/>
    </row>
    <row r="18" spans="1:32" x14ac:dyDescent="0.25">
      <c r="A18" s="32">
        <v>15</v>
      </c>
      <c r="B18" s="39"/>
      <c r="C18" s="39"/>
      <c r="D18" s="39"/>
      <c r="E18" s="39"/>
      <c r="F18" s="39"/>
      <c r="G18" s="39"/>
      <c r="H18" s="39"/>
      <c r="I18" s="40"/>
      <c r="J18" s="39"/>
      <c r="K18" s="23"/>
      <c r="L18" s="23"/>
      <c r="M18" s="23"/>
      <c r="N18" s="23"/>
      <c r="O18" s="23"/>
      <c r="P18" s="23"/>
      <c r="Q18" s="23"/>
      <c r="R18" s="23"/>
      <c r="S18" s="23"/>
      <c r="T18" s="23"/>
      <c r="U18" s="23"/>
      <c r="V18" s="23"/>
      <c r="W18" s="23"/>
      <c r="X18" s="23"/>
      <c r="Y18" s="23"/>
      <c r="Z18" s="23"/>
      <c r="AA18" s="23"/>
      <c r="AB18" s="23"/>
      <c r="AC18" s="23"/>
      <c r="AD18" s="23"/>
      <c r="AE18" s="23"/>
      <c r="AF18" s="23"/>
    </row>
    <row r="19" spans="1:32" x14ac:dyDescent="0.25">
      <c r="A19" s="32">
        <v>16</v>
      </c>
      <c r="B19" s="39"/>
      <c r="C19" s="39"/>
      <c r="D19" s="39"/>
      <c r="E19" s="39"/>
      <c r="F19" s="39"/>
      <c r="G19" s="39"/>
      <c r="H19" s="39"/>
      <c r="I19" s="40"/>
      <c r="J19" s="39"/>
      <c r="K19" s="23"/>
      <c r="L19" s="23"/>
      <c r="M19" s="23"/>
      <c r="N19" s="23"/>
      <c r="O19" s="23"/>
      <c r="P19" s="23"/>
      <c r="Q19" s="23"/>
      <c r="R19" s="23"/>
      <c r="S19" s="23"/>
      <c r="T19" s="23"/>
      <c r="U19" s="23"/>
      <c r="V19" s="23"/>
      <c r="W19" s="23"/>
      <c r="X19" s="23"/>
      <c r="Y19" s="23"/>
      <c r="Z19" s="23"/>
      <c r="AA19" s="23"/>
      <c r="AB19" s="23"/>
      <c r="AC19" s="23"/>
      <c r="AD19" s="23"/>
      <c r="AE19" s="23"/>
      <c r="AF19" s="23"/>
    </row>
    <row r="20" spans="1:32" x14ac:dyDescent="0.25">
      <c r="A20" s="32">
        <v>17</v>
      </c>
      <c r="B20" s="39"/>
      <c r="C20" s="39"/>
      <c r="D20" s="39"/>
      <c r="E20" s="39"/>
      <c r="F20" s="39"/>
      <c r="G20" s="39"/>
      <c r="H20" s="39"/>
      <c r="I20" s="40"/>
      <c r="J20" s="39"/>
      <c r="K20" s="23"/>
      <c r="L20" s="23"/>
      <c r="M20" s="23"/>
      <c r="N20" s="23"/>
      <c r="O20" s="23"/>
      <c r="P20" s="23"/>
      <c r="Q20" s="23"/>
      <c r="R20" s="23"/>
      <c r="S20" s="23"/>
      <c r="T20" s="23"/>
      <c r="U20" s="23"/>
      <c r="V20" s="23"/>
      <c r="W20" s="23"/>
      <c r="X20" s="23"/>
      <c r="Y20" s="23"/>
      <c r="Z20" s="23"/>
      <c r="AA20" s="23"/>
      <c r="AB20" s="23"/>
      <c r="AC20" s="23"/>
      <c r="AD20" s="23"/>
      <c r="AE20" s="23"/>
      <c r="AF20" s="23"/>
    </row>
    <row r="21" spans="1:32" x14ac:dyDescent="0.25">
      <c r="A21" s="32">
        <v>18</v>
      </c>
      <c r="B21" s="39"/>
      <c r="C21" s="39"/>
      <c r="D21" s="39"/>
      <c r="E21" s="39"/>
      <c r="F21" s="39"/>
      <c r="G21" s="39"/>
      <c r="H21" s="39"/>
      <c r="I21" s="40"/>
      <c r="J21" s="39"/>
      <c r="K21" s="23"/>
      <c r="L21" s="23"/>
      <c r="M21" s="23"/>
      <c r="N21" s="23"/>
      <c r="O21" s="23"/>
      <c r="P21" s="23"/>
      <c r="Q21" s="23"/>
      <c r="R21" s="23"/>
      <c r="S21" s="23"/>
      <c r="T21" s="23"/>
      <c r="U21" s="23"/>
      <c r="V21" s="23"/>
      <c r="W21" s="23"/>
      <c r="X21" s="23"/>
      <c r="Y21" s="23"/>
      <c r="Z21" s="23"/>
      <c r="AA21" s="23"/>
      <c r="AB21" s="23"/>
      <c r="AC21" s="23"/>
      <c r="AD21" s="23"/>
      <c r="AE21" s="23"/>
      <c r="AF21" s="23"/>
    </row>
    <row r="22" spans="1:32" x14ac:dyDescent="0.25">
      <c r="A22" s="32">
        <v>19</v>
      </c>
      <c r="B22" s="39"/>
      <c r="C22" s="39"/>
      <c r="D22" s="39"/>
      <c r="E22" s="39"/>
      <c r="F22" s="39"/>
      <c r="G22" s="39"/>
      <c r="H22" s="39"/>
      <c r="I22" s="40"/>
      <c r="J22" s="39"/>
      <c r="K22" s="23"/>
      <c r="L22" s="23"/>
      <c r="M22" s="23"/>
      <c r="N22" s="23"/>
      <c r="O22" s="23"/>
      <c r="P22" s="23"/>
      <c r="Q22" s="23"/>
      <c r="R22" s="23"/>
      <c r="S22" s="23"/>
      <c r="T22" s="23"/>
      <c r="U22" s="23"/>
      <c r="V22" s="23"/>
      <c r="W22" s="23"/>
      <c r="X22" s="23"/>
      <c r="Y22" s="23"/>
      <c r="Z22" s="23"/>
      <c r="AA22" s="23"/>
      <c r="AB22" s="23"/>
      <c r="AC22" s="23"/>
      <c r="AD22" s="23"/>
      <c r="AE22" s="23"/>
      <c r="AF22" s="23"/>
    </row>
    <row r="23" spans="1:32" x14ac:dyDescent="0.25">
      <c r="A23" s="32">
        <v>20</v>
      </c>
      <c r="B23" s="39"/>
      <c r="C23" s="39"/>
      <c r="D23" s="39"/>
      <c r="E23" s="39"/>
      <c r="F23" s="39"/>
      <c r="G23" s="39"/>
      <c r="H23" s="39"/>
      <c r="I23" s="40"/>
      <c r="J23" s="39"/>
      <c r="K23" s="23"/>
      <c r="L23" s="23"/>
      <c r="M23" s="23"/>
      <c r="N23" s="23"/>
      <c r="O23" s="23"/>
      <c r="P23" s="23"/>
      <c r="Q23" s="23"/>
      <c r="R23" s="23"/>
      <c r="S23" s="23"/>
      <c r="T23" s="23"/>
      <c r="U23" s="23"/>
      <c r="V23" s="23"/>
      <c r="W23" s="23"/>
      <c r="X23" s="23"/>
      <c r="Y23" s="23"/>
      <c r="Z23" s="23"/>
      <c r="AA23" s="23"/>
      <c r="AB23" s="23"/>
      <c r="AC23" s="23"/>
      <c r="AD23" s="23"/>
      <c r="AE23" s="23"/>
      <c r="AF23" s="23"/>
    </row>
    <row r="24" spans="1:32" x14ac:dyDescent="0.25">
      <c r="A24" s="32">
        <v>21</v>
      </c>
      <c r="B24" s="39"/>
      <c r="C24" s="39"/>
      <c r="D24" s="39"/>
      <c r="E24" s="39"/>
      <c r="F24" s="39"/>
      <c r="G24" s="39"/>
      <c r="H24" s="39"/>
      <c r="I24" s="40"/>
      <c r="J24" s="39"/>
      <c r="K24" s="23"/>
      <c r="L24" s="23"/>
      <c r="M24" s="23"/>
      <c r="N24" s="23"/>
      <c r="O24" s="23"/>
      <c r="P24" s="23"/>
      <c r="Q24" s="23"/>
      <c r="R24" s="23"/>
      <c r="S24" s="23"/>
      <c r="T24" s="23"/>
      <c r="U24" s="23"/>
      <c r="V24" s="23"/>
      <c r="W24" s="23"/>
      <c r="X24" s="23"/>
      <c r="Y24" s="23"/>
      <c r="Z24" s="23"/>
      <c r="AA24" s="23"/>
      <c r="AB24" s="23"/>
      <c r="AC24" s="23"/>
      <c r="AD24" s="23"/>
      <c r="AE24" s="23"/>
      <c r="AF24" s="23"/>
    </row>
    <row r="25" spans="1:32" x14ac:dyDescent="0.25">
      <c r="A25" s="32">
        <v>22</v>
      </c>
      <c r="B25" s="39"/>
      <c r="C25" s="39"/>
      <c r="D25" s="39"/>
      <c r="E25" s="39"/>
      <c r="F25" s="39"/>
      <c r="G25" s="39"/>
      <c r="H25" s="39"/>
      <c r="I25" s="40"/>
      <c r="J25" s="39"/>
      <c r="K25" s="23"/>
      <c r="L25" s="23"/>
      <c r="M25" s="23"/>
      <c r="N25" s="23"/>
      <c r="O25" s="23"/>
      <c r="P25" s="23"/>
      <c r="Q25" s="23"/>
      <c r="R25" s="23"/>
      <c r="S25" s="23"/>
      <c r="T25" s="23"/>
      <c r="U25" s="23"/>
      <c r="V25" s="23"/>
      <c r="W25" s="23"/>
      <c r="X25" s="23"/>
      <c r="Y25" s="23"/>
      <c r="Z25" s="23"/>
      <c r="AA25" s="23"/>
      <c r="AB25" s="23"/>
      <c r="AC25" s="23"/>
      <c r="AD25" s="23"/>
      <c r="AE25" s="23"/>
      <c r="AF25" s="23"/>
    </row>
    <row r="26" spans="1:32" x14ac:dyDescent="0.25">
      <c r="A26" s="32">
        <v>23</v>
      </c>
      <c r="B26" s="39"/>
      <c r="C26" s="39"/>
      <c r="D26" s="39"/>
      <c r="E26" s="39"/>
      <c r="F26" s="39"/>
      <c r="G26" s="39"/>
      <c r="H26" s="39"/>
      <c r="I26" s="40"/>
      <c r="J26" s="39"/>
      <c r="K26" s="23"/>
      <c r="L26" s="23"/>
      <c r="M26" s="23"/>
      <c r="N26" s="23"/>
      <c r="O26" s="23"/>
      <c r="P26" s="23"/>
      <c r="Q26" s="23"/>
      <c r="R26" s="23"/>
      <c r="S26" s="23"/>
      <c r="T26" s="23"/>
      <c r="U26" s="23"/>
      <c r="V26" s="23"/>
      <c r="W26" s="23"/>
      <c r="X26" s="23"/>
      <c r="Y26" s="23"/>
      <c r="Z26" s="23"/>
      <c r="AA26" s="23"/>
      <c r="AB26" s="23"/>
      <c r="AC26" s="23"/>
      <c r="AD26" s="23"/>
      <c r="AE26" s="23"/>
      <c r="AF26" s="23"/>
    </row>
    <row r="27" spans="1:32" x14ac:dyDescent="0.25">
      <c r="A27" s="32">
        <v>24</v>
      </c>
      <c r="B27" s="39"/>
      <c r="C27" s="39"/>
      <c r="D27" s="39"/>
      <c r="E27" s="39"/>
      <c r="F27" s="39"/>
      <c r="G27" s="39"/>
      <c r="H27" s="39"/>
      <c r="I27" s="40"/>
      <c r="J27" s="39"/>
      <c r="K27" s="23"/>
      <c r="L27" s="23"/>
      <c r="M27" s="23"/>
      <c r="N27" s="23"/>
      <c r="O27" s="23"/>
      <c r="P27" s="23"/>
      <c r="Q27" s="23"/>
      <c r="R27" s="23"/>
      <c r="S27" s="23"/>
      <c r="T27" s="23"/>
      <c r="U27" s="23"/>
      <c r="V27" s="23"/>
      <c r="W27" s="23"/>
      <c r="X27" s="23"/>
      <c r="Y27" s="23"/>
      <c r="Z27" s="23"/>
      <c r="AA27" s="23"/>
      <c r="AB27" s="23"/>
      <c r="AC27" s="23"/>
      <c r="AD27" s="23"/>
      <c r="AE27" s="23"/>
      <c r="AF27" s="23"/>
    </row>
    <row r="28" spans="1:32" x14ac:dyDescent="0.25">
      <c r="A28" s="32">
        <v>25</v>
      </c>
      <c r="B28" s="39"/>
      <c r="C28" s="39"/>
      <c r="D28" s="39"/>
      <c r="E28" s="39"/>
      <c r="F28" s="39"/>
      <c r="G28" s="39"/>
      <c r="H28" s="39"/>
      <c r="I28" s="40"/>
      <c r="J28" s="39"/>
      <c r="K28" s="23"/>
      <c r="L28" s="23"/>
      <c r="M28" s="23"/>
      <c r="N28" s="23"/>
      <c r="O28" s="23"/>
      <c r="P28" s="23"/>
      <c r="Q28" s="23"/>
      <c r="R28" s="23"/>
      <c r="S28" s="23"/>
      <c r="T28" s="23"/>
      <c r="U28" s="23"/>
      <c r="V28" s="23"/>
      <c r="W28" s="23"/>
      <c r="X28" s="23"/>
      <c r="Y28" s="23"/>
      <c r="Z28" s="23"/>
      <c r="AA28" s="23"/>
      <c r="AB28" s="23"/>
      <c r="AC28" s="23"/>
      <c r="AD28" s="23"/>
      <c r="AE28" s="23"/>
      <c r="AF28" s="23"/>
    </row>
  </sheetData>
  <mergeCells count="2">
    <mergeCell ref="L4:AE4"/>
    <mergeCell ref="L16:AE16"/>
  </mergeCells>
  <pageMargins left="0.7" right="0.7" top="0.75" bottom="0.75" header="0.3" footer="0.3"/>
  <drawing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AG32"/>
  <sheetViews>
    <sheetView showGridLines="0" workbookViewId="0">
      <selection activeCell="Q1" sqref="Q1"/>
    </sheetView>
  </sheetViews>
  <sheetFormatPr defaultRowHeight="15.75" x14ac:dyDescent="0.25"/>
  <cols>
    <col min="1" max="1" width="7.875" bestFit="1" customWidth="1"/>
    <col min="2" max="3" width="10" bestFit="1" customWidth="1"/>
    <col min="4" max="4" width="19" bestFit="1" customWidth="1"/>
    <col min="5" max="5" width="8.375" bestFit="1" customWidth="1"/>
    <col min="6" max="6" width="5.375" bestFit="1" customWidth="1"/>
    <col min="7" max="7" width="5.875" bestFit="1" customWidth="1"/>
    <col min="8" max="8" width="11.875" bestFit="1" customWidth="1"/>
    <col min="9" max="9" width="11.875" customWidth="1"/>
    <col min="10" max="10" width="12.125" bestFit="1" customWidth="1"/>
    <col min="11" max="11" width="3.75" customWidth="1"/>
    <col min="12" max="31" width="3.625" customWidth="1"/>
    <col min="32" max="32" width="3" customWidth="1"/>
  </cols>
  <sheetData>
    <row r="1" spans="1:33" x14ac:dyDescent="0.25">
      <c r="A1" s="16"/>
      <c r="B1" s="265"/>
      <c r="C1" s="16"/>
      <c r="D1" s="16"/>
      <c r="E1" s="16"/>
      <c r="F1" s="16"/>
      <c r="G1" s="266"/>
      <c r="H1" s="16"/>
      <c r="I1" s="16"/>
      <c r="J1" s="267"/>
      <c r="K1" s="16"/>
      <c r="L1" s="16"/>
      <c r="M1" s="16"/>
      <c r="N1" s="16"/>
      <c r="O1" s="16"/>
      <c r="P1" s="16"/>
      <c r="Q1" s="16"/>
      <c r="R1" s="16"/>
      <c r="S1" s="17">
        <f t="shared" ref="S1:AB1" si="0">VLOOKUP(MAX($A$2:$A$147),$A$2:$H$147,2)</f>
        <v>0</v>
      </c>
      <c r="T1" s="17">
        <f t="shared" si="0"/>
        <v>0</v>
      </c>
      <c r="U1" s="17">
        <f t="shared" si="0"/>
        <v>0</v>
      </c>
      <c r="V1" s="17">
        <f t="shared" si="0"/>
        <v>0</v>
      </c>
      <c r="W1" s="17">
        <f t="shared" si="0"/>
        <v>0</v>
      </c>
      <c r="X1" s="17">
        <f t="shared" si="0"/>
        <v>0</v>
      </c>
      <c r="Y1" s="17">
        <f t="shared" si="0"/>
        <v>0</v>
      </c>
      <c r="Z1" s="17">
        <f t="shared" si="0"/>
        <v>0</v>
      </c>
      <c r="AA1" s="17">
        <f t="shared" si="0"/>
        <v>0</v>
      </c>
      <c r="AB1" s="17">
        <f t="shared" si="0"/>
        <v>0</v>
      </c>
      <c r="AC1" s="18"/>
      <c r="AD1" s="18"/>
      <c r="AE1" s="18"/>
      <c r="AF1" s="18"/>
      <c r="AG1" s="18"/>
    </row>
    <row r="2" spans="1:33" ht="16.5" thickBot="1" x14ac:dyDescent="0.3">
      <c r="A2" s="68" t="s">
        <v>38</v>
      </c>
      <c r="B2" s="69" t="s">
        <v>39</v>
      </c>
      <c r="C2" s="69" t="s">
        <v>40</v>
      </c>
      <c r="D2" s="69" t="s">
        <v>41</v>
      </c>
      <c r="E2" s="68" t="s">
        <v>42</v>
      </c>
      <c r="F2" s="68" t="s">
        <v>43</v>
      </c>
      <c r="G2" s="268" t="s">
        <v>44</v>
      </c>
      <c r="H2" s="68" t="s">
        <v>45</v>
      </c>
      <c r="I2" s="68" t="s">
        <v>46</v>
      </c>
      <c r="J2" s="269" t="s">
        <v>47</v>
      </c>
      <c r="K2" s="161"/>
      <c r="L2" s="23"/>
      <c r="M2" s="23"/>
      <c r="N2" s="23"/>
      <c r="O2" s="23"/>
      <c r="P2" s="23"/>
      <c r="Q2" s="23"/>
      <c r="R2" s="23"/>
      <c r="S2" s="23"/>
      <c r="T2" s="23"/>
      <c r="U2" s="23"/>
      <c r="V2" s="23"/>
      <c r="W2" s="23"/>
      <c r="X2" s="23"/>
      <c r="Y2" s="23"/>
      <c r="Z2" s="23"/>
      <c r="AA2" s="23"/>
      <c r="AB2" s="23"/>
      <c r="AC2" s="23"/>
      <c r="AD2" s="23"/>
      <c r="AE2" s="23"/>
      <c r="AF2" s="23"/>
      <c r="AG2" s="23"/>
    </row>
    <row r="3" spans="1:33" x14ac:dyDescent="0.25">
      <c r="A3" s="73"/>
      <c r="B3" s="42"/>
      <c r="C3" s="39"/>
      <c r="D3" s="39"/>
      <c r="E3" s="39"/>
      <c r="F3" s="40"/>
      <c r="G3" s="172"/>
      <c r="H3" s="42"/>
      <c r="I3" s="43"/>
      <c r="J3" s="71"/>
      <c r="K3" s="23"/>
      <c r="L3" s="29"/>
      <c r="M3" s="30"/>
      <c r="N3" s="30"/>
      <c r="O3" s="30"/>
      <c r="P3" s="30"/>
      <c r="Q3" s="30"/>
      <c r="R3" s="30"/>
      <c r="S3" s="30"/>
      <c r="T3" s="30"/>
      <c r="U3" s="30"/>
      <c r="V3" s="30"/>
      <c r="W3" s="30"/>
      <c r="X3" s="30"/>
      <c r="Y3" s="30"/>
      <c r="Z3" s="30"/>
      <c r="AA3" s="30"/>
      <c r="AB3" s="30"/>
      <c r="AC3" s="30"/>
      <c r="AD3" s="30"/>
      <c r="AE3" s="31"/>
      <c r="AF3" s="23"/>
      <c r="AG3" s="23"/>
    </row>
    <row r="4" spans="1:33" x14ac:dyDescent="0.25">
      <c r="A4" s="32">
        <v>1</v>
      </c>
      <c r="B4" s="42"/>
      <c r="C4" s="39"/>
      <c r="D4" s="39"/>
      <c r="E4" s="39"/>
      <c r="F4" s="40"/>
      <c r="G4" s="172"/>
      <c r="H4" s="42"/>
      <c r="I4" s="43"/>
      <c r="J4" s="71"/>
      <c r="K4" s="161" t="s">
        <v>365</v>
      </c>
      <c r="L4" s="300" t="s">
        <v>55</v>
      </c>
      <c r="M4" s="301"/>
      <c r="N4" s="301"/>
      <c r="O4" s="301"/>
      <c r="P4" s="301"/>
      <c r="Q4" s="301"/>
      <c r="R4" s="301"/>
      <c r="S4" s="301"/>
      <c r="T4" s="301"/>
      <c r="U4" s="301"/>
      <c r="V4" s="301"/>
      <c r="W4" s="301"/>
      <c r="X4" s="301"/>
      <c r="Y4" s="301"/>
      <c r="Z4" s="301"/>
      <c r="AA4" s="301"/>
      <c r="AB4" s="301"/>
      <c r="AC4" s="301"/>
      <c r="AD4" s="301"/>
      <c r="AE4" s="302"/>
      <c r="AF4" s="23"/>
      <c r="AG4" s="23"/>
    </row>
    <row r="5" spans="1:33" x14ac:dyDescent="0.25">
      <c r="A5" s="32">
        <v>2</v>
      </c>
      <c r="B5" s="42" t="s">
        <v>366</v>
      </c>
      <c r="C5" s="39" t="s">
        <v>367</v>
      </c>
      <c r="D5" s="39" t="s">
        <v>368</v>
      </c>
      <c r="E5" s="39" t="s">
        <v>369</v>
      </c>
      <c r="F5" s="40" t="s">
        <v>370</v>
      </c>
      <c r="G5" s="172" t="s">
        <v>371</v>
      </c>
      <c r="H5" s="42" t="s">
        <v>372</v>
      </c>
      <c r="I5" s="43" t="s">
        <v>54</v>
      </c>
      <c r="J5" s="71">
        <v>0.01</v>
      </c>
      <c r="K5" s="23"/>
      <c r="L5" s="45"/>
      <c r="M5" s="46"/>
      <c r="N5" s="46"/>
      <c r="O5" s="46"/>
      <c r="P5" s="46"/>
      <c r="Q5" s="46"/>
      <c r="R5" s="46"/>
      <c r="S5" s="46"/>
      <c r="T5" s="46"/>
      <c r="U5" s="46"/>
      <c r="V5" s="46"/>
      <c r="W5" s="46"/>
      <c r="X5" s="46"/>
      <c r="Y5" s="46"/>
      <c r="Z5" s="46"/>
      <c r="AA5" s="46"/>
      <c r="AB5" s="46"/>
      <c r="AC5" s="46"/>
      <c r="AD5" s="46"/>
      <c r="AE5" s="47"/>
      <c r="AF5" s="23"/>
      <c r="AG5" s="23"/>
    </row>
    <row r="6" spans="1:33" x14ac:dyDescent="0.25">
      <c r="A6" s="32">
        <v>3</v>
      </c>
      <c r="B6" s="42" t="s">
        <v>48</v>
      </c>
      <c r="C6" s="39" t="s">
        <v>49</v>
      </c>
      <c r="D6" s="39" t="s">
        <v>50</v>
      </c>
      <c r="E6" s="39" t="s">
        <v>51</v>
      </c>
      <c r="F6" s="40" t="s">
        <v>52</v>
      </c>
      <c r="G6" s="172">
        <v>30062</v>
      </c>
      <c r="H6" s="42" t="s">
        <v>53</v>
      </c>
      <c r="I6" s="43" t="s">
        <v>54</v>
      </c>
      <c r="J6" s="71">
        <v>157665</v>
      </c>
      <c r="K6" s="23"/>
      <c r="L6" s="45"/>
      <c r="M6" s="48" t="s">
        <v>39</v>
      </c>
      <c r="N6" s="46"/>
      <c r="O6" s="46"/>
      <c r="P6" s="76">
        <f ca="1">INDIRECT("B4")</f>
        <v>0</v>
      </c>
      <c r="Q6" s="50"/>
      <c r="R6" s="50"/>
      <c r="S6" s="50"/>
      <c r="T6" s="50"/>
      <c r="U6" s="51"/>
      <c r="V6" s="46"/>
      <c r="W6" s="52" t="s">
        <v>42</v>
      </c>
      <c r="X6" s="46"/>
      <c r="Y6" s="49">
        <f ca="1">INDIRECT("E4")</f>
        <v>0</v>
      </c>
      <c r="Z6" s="50"/>
      <c r="AA6" s="50"/>
      <c r="AB6" s="50"/>
      <c r="AC6" s="50"/>
      <c r="AD6" s="51"/>
      <c r="AE6" s="47"/>
      <c r="AF6" s="23"/>
      <c r="AG6" s="23"/>
    </row>
    <row r="7" spans="1:33" x14ac:dyDescent="0.25">
      <c r="A7" s="32">
        <v>4</v>
      </c>
      <c r="B7" s="39" t="s">
        <v>56</v>
      </c>
      <c r="C7" s="39" t="s">
        <v>57</v>
      </c>
      <c r="D7" s="39" t="s">
        <v>58</v>
      </c>
      <c r="E7" s="39" t="s">
        <v>51</v>
      </c>
      <c r="F7" s="40" t="s">
        <v>52</v>
      </c>
      <c r="G7" s="172">
        <v>30063</v>
      </c>
      <c r="H7" s="42" t="s">
        <v>59</v>
      </c>
      <c r="I7" s="43" t="s">
        <v>60</v>
      </c>
      <c r="J7" s="71">
        <v>156340</v>
      </c>
      <c r="K7" s="23"/>
      <c r="L7" s="45"/>
      <c r="M7" s="46"/>
      <c r="N7" s="46"/>
      <c r="O7" s="46"/>
      <c r="P7" s="46"/>
      <c r="Q7" s="46"/>
      <c r="R7" s="46"/>
      <c r="S7" s="46"/>
      <c r="T7" s="46"/>
      <c r="U7" s="46"/>
      <c r="V7" s="46"/>
      <c r="W7" s="46"/>
      <c r="X7" s="46"/>
      <c r="Y7" s="46"/>
      <c r="Z7" s="46"/>
      <c r="AA7" s="46"/>
      <c r="AB7" s="46"/>
      <c r="AC7" s="46"/>
      <c r="AD7" s="46"/>
      <c r="AE7" s="47"/>
      <c r="AF7" s="23"/>
      <c r="AG7" s="23"/>
    </row>
    <row r="8" spans="1:33" x14ac:dyDescent="0.25">
      <c r="A8" s="32">
        <v>5</v>
      </c>
      <c r="B8" s="39" t="s">
        <v>61</v>
      </c>
      <c r="C8" s="42" t="s">
        <v>62</v>
      </c>
      <c r="D8" s="39" t="s">
        <v>63</v>
      </c>
      <c r="E8" s="39" t="s">
        <v>51</v>
      </c>
      <c r="F8" s="40" t="s">
        <v>52</v>
      </c>
      <c r="G8" s="172">
        <v>30064</v>
      </c>
      <c r="H8" s="42" t="s">
        <v>64</v>
      </c>
      <c r="I8" s="43" t="s">
        <v>65</v>
      </c>
      <c r="J8" s="71">
        <v>81480</v>
      </c>
      <c r="K8" s="23"/>
      <c r="L8" s="45"/>
      <c r="M8" s="48" t="s">
        <v>40</v>
      </c>
      <c r="N8" s="46"/>
      <c r="O8" s="46"/>
      <c r="P8" s="49">
        <f ca="1">INDIRECT("C4")</f>
        <v>0</v>
      </c>
      <c r="Q8" s="50"/>
      <c r="R8" s="50"/>
      <c r="S8" s="50"/>
      <c r="T8" s="50"/>
      <c r="U8" s="51"/>
      <c r="V8" s="46"/>
      <c r="W8" s="52" t="s">
        <v>43</v>
      </c>
      <c r="X8" s="46"/>
      <c r="Y8" s="49">
        <f ca="1">INDIRECT("F4")</f>
        <v>0</v>
      </c>
      <c r="Z8" s="50"/>
      <c r="AA8" s="50"/>
      <c r="AB8" s="50"/>
      <c r="AC8" s="50"/>
      <c r="AD8" s="51"/>
      <c r="AE8" s="47"/>
      <c r="AF8" s="23"/>
      <c r="AG8" s="23"/>
    </row>
    <row r="9" spans="1:33" x14ac:dyDescent="0.25">
      <c r="A9" s="32">
        <v>6</v>
      </c>
      <c r="B9" s="39" t="s">
        <v>66</v>
      </c>
      <c r="C9" s="42" t="s">
        <v>67</v>
      </c>
      <c r="D9" s="39" t="s">
        <v>68</v>
      </c>
      <c r="E9" s="39" t="s">
        <v>51</v>
      </c>
      <c r="F9" s="40" t="s">
        <v>52</v>
      </c>
      <c r="G9" s="172">
        <v>30065</v>
      </c>
      <c r="H9" s="42" t="s">
        <v>69</v>
      </c>
      <c r="I9" s="43" t="s">
        <v>54</v>
      </c>
      <c r="J9" s="71">
        <v>202578</v>
      </c>
      <c r="K9" s="23"/>
      <c r="L9" s="45"/>
      <c r="M9" s="46"/>
      <c r="N9" s="46"/>
      <c r="O9" s="46"/>
      <c r="P9" s="46"/>
      <c r="Q9" s="46"/>
      <c r="R9" s="46"/>
      <c r="S9" s="46"/>
      <c r="T9" s="46"/>
      <c r="U9" s="46"/>
      <c r="V9" s="46"/>
      <c r="W9" s="46"/>
      <c r="X9" s="46"/>
      <c r="Y9" s="46"/>
      <c r="Z9" s="46"/>
      <c r="AA9" s="46"/>
      <c r="AB9" s="46"/>
      <c r="AC9" s="46"/>
      <c r="AD9" s="46"/>
      <c r="AE9" s="47"/>
      <c r="AF9" s="23"/>
      <c r="AG9" s="23"/>
    </row>
    <row r="10" spans="1:33" x14ac:dyDescent="0.25">
      <c r="A10" s="32">
        <v>7</v>
      </c>
      <c r="B10" s="42" t="s">
        <v>70</v>
      </c>
      <c r="C10" s="39" t="s">
        <v>71</v>
      </c>
      <c r="D10" s="39" t="s">
        <v>72</v>
      </c>
      <c r="E10" s="39" t="s">
        <v>51</v>
      </c>
      <c r="F10" s="40" t="s">
        <v>52</v>
      </c>
      <c r="G10" s="172">
        <v>30066</v>
      </c>
      <c r="H10" s="42" t="s">
        <v>73</v>
      </c>
      <c r="I10" s="43" t="s">
        <v>60</v>
      </c>
      <c r="J10" s="71">
        <v>177209</v>
      </c>
      <c r="K10" s="23"/>
      <c r="L10" s="45"/>
      <c r="M10" s="48" t="s">
        <v>41</v>
      </c>
      <c r="N10" s="46"/>
      <c r="O10" s="46"/>
      <c r="P10" s="49">
        <f ca="1">INDIRECT("D4")</f>
        <v>0</v>
      </c>
      <c r="Q10" s="50"/>
      <c r="R10" s="50"/>
      <c r="S10" s="50"/>
      <c r="T10" s="50"/>
      <c r="U10" s="51"/>
      <c r="V10" s="46"/>
      <c r="W10" s="52" t="s">
        <v>44</v>
      </c>
      <c r="X10" s="46"/>
      <c r="Y10" s="306">
        <f ca="1">INDIRECT("G4")</f>
        <v>0</v>
      </c>
      <c r="Z10" s="314"/>
      <c r="AA10" s="50"/>
      <c r="AB10" s="50"/>
      <c r="AC10" s="50"/>
      <c r="AD10" s="51"/>
      <c r="AE10" s="47"/>
      <c r="AF10" s="23"/>
      <c r="AG10" s="23"/>
    </row>
    <row r="11" spans="1:33" x14ac:dyDescent="0.25">
      <c r="A11" s="32">
        <v>8</v>
      </c>
      <c r="B11" s="39" t="s">
        <v>74</v>
      </c>
      <c r="C11" s="39" t="s">
        <v>75</v>
      </c>
      <c r="D11" s="39" t="s">
        <v>76</v>
      </c>
      <c r="E11" s="39" t="s">
        <v>77</v>
      </c>
      <c r="F11" s="40" t="s">
        <v>52</v>
      </c>
      <c r="G11" s="172">
        <v>30092</v>
      </c>
      <c r="H11" s="42" t="s">
        <v>78</v>
      </c>
      <c r="I11" s="43" t="s">
        <v>65</v>
      </c>
      <c r="J11" s="71">
        <v>212254.23</v>
      </c>
      <c r="K11" s="23"/>
      <c r="L11" s="45"/>
      <c r="M11" s="46"/>
      <c r="N11" s="46"/>
      <c r="O11" s="46"/>
      <c r="P11" s="46"/>
      <c r="Q11" s="46"/>
      <c r="R11" s="46"/>
      <c r="S11" s="46"/>
      <c r="T11" s="46"/>
      <c r="U11" s="46"/>
      <c r="V11" s="46"/>
      <c r="W11" s="46"/>
      <c r="X11" s="46"/>
      <c r="Y11" s="46"/>
      <c r="Z11" s="46"/>
      <c r="AA11" s="46"/>
      <c r="AB11" s="46"/>
      <c r="AC11" s="46"/>
      <c r="AD11" s="46"/>
      <c r="AE11" s="47"/>
      <c r="AF11" s="23"/>
      <c r="AG11" s="23"/>
    </row>
    <row r="12" spans="1:33" x14ac:dyDescent="0.25">
      <c r="A12" s="32">
        <v>9</v>
      </c>
      <c r="B12" s="39" t="s">
        <v>79</v>
      </c>
      <c r="C12" s="39" t="s">
        <v>80</v>
      </c>
      <c r="D12" s="39" t="s">
        <v>50</v>
      </c>
      <c r="E12" s="39" t="s">
        <v>81</v>
      </c>
      <c r="F12" s="40" t="s">
        <v>82</v>
      </c>
      <c r="G12" s="172">
        <v>30092</v>
      </c>
      <c r="H12" s="42" t="s">
        <v>53</v>
      </c>
      <c r="I12" s="43" t="s">
        <v>54</v>
      </c>
      <c r="J12" s="71">
        <v>124533.45</v>
      </c>
      <c r="K12" s="23"/>
      <c r="L12" s="45"/>
      <c r="M12" s="52" t="s">
        <v>45</v>
      </c>
      <c r="N12" s="46"/>
      <c r="O12" s="46"/>
      <c r="P12" s="49">
        <f ca="1">INDIRECT("h4")</f>
        <v>0</v>
      </c>
      <c r="Q12" s="50"/>
      <c r="R12" s="50"/>
      <c r="S12" s="50"/>
      <c r="T12" s="50"/>
      <c r="U12" s="51"/>
      <c r="V12" s="46"/>
      <c r="W12" s="60" t="s">
        <v>99</v>
      </c>
      <c r="X12" s="46"/>
      <c r="Y12" s="49">
        <f ca="1">INDIRECT("I4")</f>
        <v>0</v>
      </c>
      <c r="Z12" s="50"/>
      <c r="AA12" s="50"/>
      <c r="AB12" s="50"/>
      <c r="AC12" s="50"/>
      <c r="AD12" s="51"/>
      <c r="AE12" s="47"/>
      <c r="AF12" s="23"/>
      <c r="AG12" s="23"/>
    </row>
    <row r="13" spans="1:33" x14ac:dyDescent="0.25">
      <c r="A13" s="32">
        <v>10</v>
      </c>
      <c r="B13" s="39"/>
      <c r="C13" s="39"/>
      <c r="D13" s="39"/>
      <c r="E13" s="39"/>
      <c r="F13" s="39"/>
      <c r="G13" s="259"/>
      <c r="H13" s="39"/>
      <c r="I13" s="40"/>
      <c r="J13" s="72"/>
      <c r="K13" s="23"/>
      <c r="L13" s="45"/>
      <c r="M13" s="46"/>
      <c r="N13" s="46"/>
      <c r="O13" s="46"/>
      <c r="P13" s="46"/>
      <c r="Q13" s="46"/>
      <c r="R13" s="46"/>
      <c r="S13" s="46"/>
      <c r="T13" s="46"/>
      <c r="U13" s="46"/>
      <c r="V13" s="46"/>
      <c r="W13" s="46"/>
      <c r="X13" s="46"/>
      <c r="Y13" s="46"/>
      <c r="Z13" s="46"/>
      <c r="AA13" s="46"/>
      <c r="AB13" s="46"/>
      <c r="AC13" s="46"/>
      <c r="AD13" s="46"/>
      <c r="AE13" s="47"/>
      <c r="AF13" s="23"/>
      <c r="AG13" s="23"/>
    </row>
    <row r="14" spans="1:33" x14ac:dyDescent="0.25">
      <c r="A14" s="32">
        <v>11</v>
      </c>
      <c r="B14" s="39"/>
      <c r="C14" s="39"/>
      <c r="D14" s="39"/>
      <c r="E14" s="39"/>
      <c r="F14" s="39"/>
      <c r="G14" s="259"/>
      <c r="H14" s="39"/>
      <c r="I14" s="40"/>
      <c r="J14" s="72"/>
      <c r="K14" s="23"/>
      <c r="L14" s="45"/>
      <c r="M14" s="52" t="s">
        <v>90</v>
      </c>
      <c r="N14" s="46"/>
      <c r="O14" s="46"/>
      <c r="P14" s="46"/>
      <c r="Q14" s="46"/>
      <c r="R14" s="46"/>
      <c r="S14" s="46"/>
      <c r="T14" s="46"/>
      <c r="U14" s="46"/>
      <c r="V14" s="46"/>
      <c r="W14" s="46"/>
      <c r="X14" s="46"/>
      <c r="Y14" s="316">
        <f ca="1">INDIRECT("J4")</f>
        <v>0</v>
      </c>
      <c r="Z14" s="317"/>
      <c r="AA14" s="317"/>
      <c r="AB14" s="317"/>
      <c r="AC14" s="317"/>
      <c r="AD14" s="369"/>
      <c r="AE14" s="47"/>
      <c r="AF14" s="23"/>
      <c r="AG14" s="23"/>
    </row>
    <row r="15" spans="1:33" x14ac:dyDescent="0.25">
      <c r="A15" s="32">
        <v>12</v>
      </c>
      <c r="B15" s="39"/>
      <c r="C15" s="39"/>
      <c r="D15" s="39"/>
      <c r="E15" s="39"/>
      <c r="F15" s="39"/>
      <c r="G15" s="259"/>
      <c r="H15" s="39"/>
      <c r="I15" s="40"/>
      <c r="J15" s="72"/>
      <c r="K15" s="23"/>
      <c r="L15" s="45"/>
      <c r="M15" s="46"/>
      <c r="N15" s="46"/>
      <c r="O15" s="46"/>
      <c r="P15" s="46"/>
      <c r="Q15" s="46"/>
      <c r="R15" s="46"/>
      <c r="S15" s="46"/>
      <c r="T15" s="46"/>
      <c r="U15" s="46"/>
      <c r="V15" s="46"/>
      <c r="W15" s="46"/>
      <c r="X15" s="46"/>
      <c r="Y15" s="46"/>
      <c r="Z15" s="46"/>
      <c r="AA15" s="46"/>
      <c r="AB15" s="46"/>
      <c r="AC15" s="46"/>
      <c r="AD15" s="46"/>
      <c r="AE15" s="47"/>
      <c r="AF15" s="23"/>
      <c r="AG15" s="23"/>
    </row>
    <row r="16" spans="1:33" x14ac:dyDescent="0.25">
      <c r="A16" s="32">
        <v>13</v>
      </c>
      <c r="B16" s="39"/>
      <c r="C16" s="39"/>
      <c r="D16" s="39"/>
      <c r="E16" s="39"/>
      <c r="F16" s="39"/>
      <c r="G16" s="259"/>
      <c r="H16" s="39"/>
      <c r="I16" s="40"/>
      <c r="J16" s="72"/>
      <c r="K16" s="23"/>
      <c r="L16" s="303" t="s">
        <v>91</v>
      </c>
      <c r="M16" s="304"/>
      <c r="N16" s="304"/>
      <c r="O16" s="304"/>
      <c r="P16" s="304"/>
      <c r="Q16" s="304"/>
      <c r="R16" s="304"/>
      <c r="S16" s="304"/>
      <c r="T16" s="304"/>
      <c r="U16" s="304"/>
      <c r="V16" s="304"/>
      <c r="W16" s="304"/>
      <c r="X16" s="304"/>
      <c r="Y16" s="304"/>
      <c r="Z16" s="304"/>
      <c r="AA16" s="304"/>
      <c r="AB16" s="304"/>
      <c r="AC16" s="304"/>
      <c r="AD16" s="304"/>
      <c r="AE16" s="305"/>
      <c r="AF16" s="23"/>
      <c r="AG16" s="23"/>
    </row>
    <row r="17" spans="1:33" ht="16.5" thickBot="1" x14ac:dyDescent="0.3">
      <c r="A17" s="32">
        <v>14</v>
      </c>
      <c r="B17" s="39"/>
      <c r="C17" s="39"/>
      <c r="D17" s="39"/>
      <c r="E17" s="39"/>
      <c r="F17" s="39"/>
      <c r="G17" s="259"/>
      <c r="H17" s="39"/>
      <c r="I17" s="40"/>
      <c r="J17" s="72"/>
      <c r="K17" s="23"/>
      <c r="L17" s="61"/>
      <c r="M17" s="62"/>
      <c r="N17" s="62"/>
      <c r="O17" s="62"/>
      <c r="P17" s="62"/>
      <c r="Q17" s="62"/>
      <c r="R17" s="62"/>
      <c r="S17" s="62"/>
      <c r="T17" s="62"/>
      <c r="U17" s="62"/>
      <c r="V17" s="62"/>
      <c r="W17" s="62"/>
      <c r="X17" s="62"/>
      <c r="Y17" s="62"/>
      <c r="Z17" s="62"/>
      <c r="AA17" s="62"/>
      <c r="AB17" s="62"/>
      <c r="AC17" s="62"/>
      <c r="AD17" s="62"/>
      <c r="AE17" s="63"/>
      <c r="AF17" s="23"/>
      <c r="AG17" s="23"/>
    </row>
    <row r="18" spans="1:33" x14ac:dyDescent="0.25">
      <c r="A18" s="32">
        <v>15</v>
      </c>
      <c r="B18" s="39"/>
      <c r="C18" s="39"/>
      <c r="D18" s="39"/>
      <c r="E18" s="39"/>
      <c r="F18" s="39"/>
      <c r="G18" s="259"/>
      <c r="H18" s="39"/>
      <c r="I18" s="40"/>
      <c r="J18" s="72"/>
      <c r="K18" s="23"/>
      <c r="L18" s="23"/>
      <c r="M18" s="23"/>
      <c r="N18" s="23"/>
      <c r="O18" s="23"/>
      <c r="P18" s="23"/>
      <c r="Q18" s="23"/>
      <c r="R18" s="23"/>
      <c r="S18" s="23"/>
      <c r="T18" s="23"/>
      <c r="U18" s="23"/>
      <c r="V18" s="23"/>
      <c r="W18" s="23"/>
      <c r="X18" s="23"/>
      <c r="Y18" s="23"/>
      <c r="Z18" s="23"/>
      <c r="AA18" s="23"/>
      <c r="AB18" s="23"/>
      <c r="AC18" s="23"/>
      <c r="AD18" s="23"/>
      <c r="AE18" s="23"/>
      <c r="AF18" s="23"/>
      <c r="AG18" s="23"/>
    </row>
    <row r="19" spans="1:33" x14ac:dyDescent="0.25">
      <c r="A19" s="32">
        <v>16</v>
      </c>
      <c r="B19" s="39"/>
      <c r="C19" s="39"/>
      <c r="D19" s="39"/>
      <c r="E19" s="39"/>
      <c r="F19" s="39"/>
      <c r="G19" s="259"/>
      <c r="H19" s="39"/>
      <c r="I19" s="40"/>
      <c r="J19" s="72"/>
      <c r="K19" s="23"/>
      <c r="L19" s="23"/>
      <c r="M19" s="23"/>
      <c r="N19" s="23"/>
      <c r="O19" s="23"/>
      <c r="P19" s="23"/>
      <c r="Q19" s="23"/>
      <c r="R19" s="23"/>
      <c r="S19" s="23"/>
      <c r="T19" s="23"/>
      <c r="U19" s="23"/>
      <c r="V19" s="23"/>
      <c r="W19" s="23"/>
      <c r="X19" s="23"/>
      <c r="Y19" s="23"/>
      <c r="Z19" s="23"/>
      <c r="AA19" s="23"/>
      <c r="AB19" s="23"/>
      <c r="AC19" s="23"/>
      <c r="AD19" s="23"/>
      <c r="AE19" s="23"/>
      <c r="AF19" s="23"/>
      <c r="AG19" s="23"/>
    </row>
    <row r="20" spans="1:33" x14ac:dyDescent="0.25">
      <c r="A20" s="32">
        <v>17</v>
      </c>
      <c r="B20" s="39"/>
      <c r="C20" s="39"/>
      <c r="D20" s="39"/>
      <c r="E20" s="39"/>
      <c r="F20" s="39"/>
      <c r="G20" s="259"/>
      <c r="H20" s="39"/>
      <c r="I20" s="40"/>
      <c r="J20" s="72"/>
      <c r="K20" s="23"/>
      <c r="L20" s="23"/>
      <c r="M20" s="23"/>
      <c r="N20" s="23"/>
      <c r="O20" s="23"/>
      <c r="P20" s="23"/>
      <c r="Q20" s="23"/>
      <c r="R20" s="23"/>
      <c r="S20" s="23"/>
      <c r="T20" s="23"/>
      <c r="U20" s="23"/>
      <c r="V20" s="23"/>
      <c r="W20" s="23"/>
      <c r="X20" s="23"/>
      <c r="Y20" s="23"/>
      <c r="Z20" s="23"/>
      <c r="AA20" s="23"/>
      <c r="AB20" s="23"/>
      <c r="AC20" s="23"/>
      <c r="AD20" s="23"/>
      <c r="AE20" s="23"/>
      <c r="AF20" s="23"/>
      <c r="AG20" s="23"/>
    </row>
    <row r="21" spans="1:33" x14ac:dyDescent="0.25">
      <c r="A21" s="32">
        <v>18</v>
      </c>
      <c r="B21" s="39"/>
      <c r="C21" s="39"/>
      <c r="D21" s="39"/>
      <c r="E21" s="39"/>
      <c r="F21" s="39"/>
      <c r="G21" s="259"/>
      <c r="H21" s="39"/>
      <c r="I21" s="40"/>
      <c r="J21" s="72"/>
      <c r="K21" s="23"/>
      <c r="L21" s="23"/>
      <c r="M21" s="23"/>
      <c r="N21" s="23"/>
      <c r="O21" s="23"/>
      <c r="P21" s="23"/>
      <c r="Q21" s="23"/>
      <c r="R21" s="23"/>
      <c r="S21" s="23"/>
      <c r="T21" s="23"/>
      <c r="U21" s="23"/>
      <c r="V21" s="23"/>
      <c r="W21" s="23"/>
      <c r="X21" s="23"/>
      <c r="Y21" s="23"/>
      <c r="Z21" s="23"/>
      <c r="AA21" s="23"/>
      <c r="AB21" s="23"/>
      <c r="AC21" s="23"/>
      <c r="AD21" s="23"/>
      <c r="AE21" s="23"/>
      <c r="AF21" s="23"/>
      <c r="AG21" s="23"/>
    </row>
    <row r="22" spans="1:33" x14ac:dyDescent="0.25">
      <c r="A22" s="32">
        <v>19</v>
      </c>
      <c r="B22" s="39"/>
      <c r="C22" s="39"/>
      <c r="D22" s="39"/>
      <c r="E22" s="39"/>
      <c r="F22" s="39"/>
      <c r="G22" s="259"/>
      <c r="H22" s="39"/>
      <c r="I22" s="40"/>
      <c r="J22" s="72"/>
      <c r="K22" s="23"/>
      <c r="L22" s="23"/>
      <c r="M22" s="23"/>
      <c r="N22" s="23"/>
      <c r="O22" s="23"/>
      <c r="P22" s="23"/>
      <c r="Q22" s="23"/>
      <c r="R22" s="23"/>
      <c r="S22" s="23"/>
      <c r="T22" s="23"/>
      <c r="U22" s="23"/>
      <c r="V22" s="23"/>
      <c r="W22" s="23"/>
      <c r="X22" s="23"/>
      <c r="Y22" s="23"/>
      <c r="Z22" s="23"/>
      <c r="AA22" s="23"/>
      <c r="AB22" s="23"/>
      <c r="AC22" s="23"/>
      <c r="AD22" s="23"/>
      <c r="AE22" s="23"/>
      <c r="AF22" s="23"/>
      <c r="AG22" s="23"/>
    </row>
    <row r="23" spans="1:33" x14ac:dyDescent="0.25">
      <c r="A23" s="32">
        <v>20</v>
      </c>
      <c r="B23" s="39"/>
      <c r="C23" s="39"/>
      <c r="D23" s="39"/>
      <c r="E23" s="39"/>
      <c r="F23" s="39"/>
      <c r="G23" s="259"/>
      <c r="H23" s="39"/>
      <c r="I23" s="40"/>
      <c r="J23" s="72"/>
      <c r="K23" s="23"/>
      <c r="L23" s="23"/>
      <c r="M23" s="23"/>
      <c r="N23" s="23"/>
      <c r="O23" s="23"/>
      <c r="P23" s="23"/>
      <c r="Q23" s="23"/>
      <c r="R23" s="23"/>
      <c r="S23" s="23"/>
      <c r="T23" s="23"/>
      <c r="U23" s="23"/>
      <c r="V23" s="23"/>
      <c r="W23" s="23"/>
      <c r="X23" s="23"/>
      <c r="Y23" s="23"/>
      <c r="Z23" s="23"/>
      <c r="AA23" s="23"/>
      <c r="AB23" s="23"/>
      <c r="AC23" s="23"/>
      <c r="AD23" s="23"/>
      <c r="AE23" s="23"/>
      <c r="AF23" s="23"/>
      <c r="AG23" s="23"/>
    </row>
    <row r="24" spans="1:33" x14ac:dyDescent="0.25">
      <c r="A24" s="32">
        <v>21</v>
      </c>
      <c r="B24" s="39"/>
      <c r="C24" s="39"/>
      <c r="D24" s="39"/>
      <c r="E24" s="39"/>
      <c r="F24" s="39"/>
      <c r="G24" s="259"/>
      <c r="H24" s="39"/>
      <c r="I24" s="40"/>
      <c r="J24" s="72"/>
      <c r="K24" s="23"/>
      <c r="L24" s="23"/>
      <c r="M24" s="23"/>
      <c r="N24" s="23"/>
      <c r="O24" s="23"/>
      <c r="P24" s="23"/>
      <c r="Q24" s="23"/>
      <c r="R24" s="23"/>
      <c r="S24" s="23"/>
      <c r="T24" s="23"/>
      <c r="U24" s="23"/>
      <c r="V24" s="23"/>
      <c r="W24" s="23"/>
      <c r="X24" s="23"/>
      <c r="Y24" s="23"/>
      <c r="Z24" s="23"/>
      <c r="AA24" s="23"/>
      <c r="AB24" s="23"/>
      <c r="AC24" s="23"/>
      <c r="AD24" s="23"/>
      <c r="AE24" s="23"/>
      <c r="AF24" s="23"/>
      <c r="AG24" s="23"/>
    </row>
    <row r="25" spans="1:33" x14ac:dyDescent="0.25">
      <c r="A25" s="32">
        <v>22</v>
      </c>
      <c r="B25" s="39"/>
      <c r="C25" s="39"/>
      <c r="D25" s="39"/>
      <c r="E25" s="39"/>
      <c r="F25" s="39"/>
      <c r="G25" s="259"/>
      <c r="H25" s="39"/>
      <c r="I25" s="40"/>
      <c r="J25" s="72"/>
      <c r="K25" s="23"/>
      <c r="L25" s="23"/>
      <c r="M25" s="23"/>
      <c r="N25" s="23"/>
      <c r="O25" s="23"/>
      <c r="P25" s="23"/>
      <c r="Q25" s="23"/>
      <c r="R25" s="23"/>
      <c r="S25" s="23"/>
      <c r="T25" s="23"/>
      <c r="U25" s="23"/>
      <c r="V25" s="23"/>
      <c r="W25" s="23"/>
      <c r="X25" s="23"/>
      <c r="Y25" s="23"/>
      <c r="Z25" s="23"/>
      <c r="AA25" s="23"/>
      <c r="AB25" s="23"/>
      <c r="AC25" s="23"/>
      <c r="AD25" s="23"/>
      <c r="AE25" s="23"/>
      <c r="AF25" s="23"/>
      <c r="AG25" s="23"/>
    </row>
    <row r="26" spans="1:33" x14ac:dyDescent="0.25">
      <c r="A26" s="32">
        <v>23</v>
      </c>
      <c r="B26" s="39"/>
      <c r="C26" s="39"/>
      <c r="D26" s="39"/>
      <c r="E26" s="39"/>
      <c r="F26" s="39"/>
      <c r="G26" s="259"/>
      <c r="H26" s="39"/>
      <c r="I26" s="40"/>
      <c r="J26" s="72"/>
      <c r="K26" s="23"/>
      <c r="L26" s="23"/>
      <c r="M26" s="23"/>
      <c r="N26" s="23"/>
      <c r="O26" s="23"/>
      <c r="P26" s="23"/>
      <c r="Q26" s="23"/>
      <c r="R26" s="23"/>
      <c r="S26" s="23"/>
      <c r="T26" s="23"/>
      <c r="U26" s="23"/>
      <c r="V26" s="23"/>
      <c r="W26" s="23"/>
      <c r="X26" s="23"/>
      <c r="Y26" s="23"/>
      <c r="Z26" s="23"/>
      <c r="AA26" s="23"/>
      <c r="AB26" s="23"/>
      <c r="AC26" s="23"/>
      <c r="AD26" s="23"/>
      <c r="AE26" s="23"/>
      <c r="AF26" s="23"/>
      <c r="AG26" s="23"/>
    </row>
    <row r="27" spans="1:33" x14ac:dyDescent="0.25">
      <c r="A27" s="32">
        <v>24</v>
      </c>
      <c r="B27" s="39"/>
      <c r="C27" s="39"/>
      <c r="D27" s="39"/>
      <c r="E27" s="39"/>
      <c r="F27" s="39"/>
      <c r="G27" s="259"/>
      <c r="H27" s="39"/>
      <c r="I27" s="40"/>
      <c r="J27" s="72"/>
      <c r="K27" s="23"/>
      <c r="L27" s="23"/>
      <c r="M27" s="23"/>
      <c r="N27" s="23"/>
      <c r="O27" s="23"/>
      <c r="P27" s="23"/>
      <c r="Q27" s="23"/>
      <c r="R27" s="23"/>
      <c r="S27" s="23"/>
      <c r="T27" s="23"/>
      <c r="U27" s="23"/>
      <c r="V27" s="23"/>
      <c r="W27" s="23"/>
      <c r="X27" s="23"/>
      <c r="Y27" s="23"/>
      <c r="Z27" s="23"/>
      <c r="AA27" s="23"/>
      <c r="AB27" s="23"/>
      <c r="AC27" s="23"/>
      <c r="AD27" s="23"/>
      <c r="AE27" s="23"/>
      <c r="AF27" s="23"/>
      <c r="AG27" s="23"/>
    </row>
    <row r="28" spans="1:33" x14ac:dyDescent="0.25">
      <c r="A28" s="32">
        <v>25</v>
      </c>
      <c r="B28" s="39"/>
      <c r="C28" s="39"/>
      <c r="D28" s="39"/>
      <c r="E28" s="39"/>
      <c r="F28" s="39"/>
      <c r="G28" s="259"/>
      <c r="H28" s="39"/>
      <c r="I28" s="40"/>
      <c r="J28" s="72"/>
      <c r="K28" s="23"/>
      <c r="L28" s="23"/>
      <c r="M28" s="23"/>
      <c r="N28" s="23"/>
      <c r="O28" s="23"/>
      <c r="P28" s="23"/>
      <c r="Q28" s="23"/>
      <c r="R28" s="23"/>
      <c r="S28" s="23"/>
      <c r="T28" s="23"/>
      <c r="U28" s="23"/>
      <c r="V28" s="23"/>
      <c r="W28" s="23"/>
      <c r="X28" s="23"/>
      <c r="Y28" s="23"/>
      <c r="Z28" s="23"/>
      <c r="AA28" s="23"/>
      <c r="AB28" s="23"/>
      <c r="AC28" s="23"/>
      <c r="AD28" s="23"/>
      <c r="AE28" s="23"/>
      <c r="AF28" s="23"/>
      <c r="AG28" s="23"/>
    </row>
    <row r="29" spans="1:33" x14ac:dyDescent="0.25">
      <c r="A29" s="32">
        <v>26</v>
      </c>
      <c r="B29" s="39"/>
      <c r="C29" s="39"/>
      <c r="D29" s="39"/>
      <c r="E29" s="39"/>
      <c r="F29" s="39"/>
      <c r="G29" s="259"/>
      <c r="H29" s="39"/>
      <c r="I29" s="40"/>
      <c r="J29" s="72"/>
      <c r="K29" s="23"/>
      <c r="L29" s="23"/>
      <c r="M29" s="23"/>
      <c r="N29" s="23"/>
      <c r="O29" s="23"/>
      <c r="P29" s="23"/>
      <c r="Q29" s="23"/>
      <c r="R29" s="23"/>
      <c r="S29" s="23"/>
      <c r="T29" s="23"/>
      <c r="U29" s="23"/>
      <c r="V29" s="23"/>
      <c r="W29" s="23"/>
      <c r="X29" s="23"/>
      <c r="Y29" s="23"/>
      <c r="Z29" s="23"/>
      <c r="AA29" s="23"/>
      <c r="AB29" s="23"/>
      <c r="AC29" s="23"/>
      <c r="AD29" s="23"/>
      <c r="AE29" s="23"/>
      <c r="AF29" s="23"/>
      <c r="AG29" s="23"/>
    </row>
    <row r="30" spans="1:33" x14ac:dyDescent="0.25">
      <c r="A30" s="32">
        <v>27</v>
      </c>
      <c r="B30" s="39"/>
      <c r="C30" s="39"/>
      <c r="D30" s="39"/>
      <c r="E30" s="39"/>
      <c r="F30" s="39"/>
      <c r="G30" s="259"/>
      <c r="H30" s="39"/>
      <c r="I30" s="40"/>
      <c r="J30" s="72"/>
      <c r="K30" s="23"/>
      <c r="L30" s="23"/>
      <c r="M30" s="23"/>
      <c r="N30" s="23"/>
      <c r="O30" s="23"/>
      <c r="P30" s="23"/>
      <c r="Q30" s="23"/>
      <c r="R30" s="23"/>
      <c r="S30" s="23"/>
      <c r="T30" s="23"/>
      <c r="U30" s="23"/>
      <c r="V30" s="23"/>
      <c r="W30" s="23"/>
      <c r="X30" s="23"/>
      <c r="Y30" s="23"/>
      <c r="Z30" s="23"/>
      <c r="AA30" s="23"/>
      <c r="AB30" s="23"/>
      <c r="AC30" s="23"/>
      <c r="AD30" s="23"/>
      <c r="AE30" s="23"/>
      <c r="AF30" s="23"/>
      <c r="AG30" s="23"/>
    </row>
    <row r="32" spans="1:33" x14ac:dyDescent="0.25">
      <c r="D32" s="270" t="s">
        <v>373</v>
      </c>
    </row>
  </sheetData>
  <mergeCells count="4">
    <mergeCell ref="L4:AE4"/>
    <mergeCell ref="Y10:Z10"/>
    <mergeCell ref="Y14:AD14"/>
    <mergeCell ref="L16:AE16"/>
  </mergeCells>
  <pageMargins left="0.7" right="0.7" top="0.75" bottom="0.75" header="0.3" footer="0.3"/>
  <drawing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3"/>
  <dimension ref="A1:AG28"/>
  <sheetViews>
    <sheetView showGridLines="0" workbookViewId="0">
      <selection activeCell="R1" sqref="R1"/>
    </sheetView>
  </sheetViews>
  <sheetFormatPr defaultRowHeight="15.75" x14ac:dyDescent="0.25"/>
  <cols>
    <col min="1" max="1" width="7.875" bestFit="1" customWidth="1"/>
    <col min="2" max="3" width="10" bestFit="1" customWidth="1"/>
    <col min="4" max="4" width="19" bestFit="1" customWidth="1"/>
    <col min="5" max="5" width="8.375" bestFit="1" customWidth="1"/>
    <col min="6" max="6" width="5.375" bestFit="1" customWidth="1"/>
    <col min="7" max="7" width="5.875" bestFit="1" customWidth="1"/>
    <col min="8" max="8" width="11.875" bestFit="1" customWidth="1"/>
    <col min="9" max="9" width="11.875" customWidth="1"/>
    <col min="10" max="10" width="12.125" bestFit="1" customWidth="1"/>
    <col min="11" max="11" width="3.75" customWidth="1"/>
    <col min="12" max="31" width="3.625" customWidth="1"/>
    <col min="32" max="32" width="3" customWidth="1"/>
  </cols>
  <sheetData>
    <row r="1" spans="1:33" x14ac:dyDescent="0.25">
      <c r="A1" s="16"/>
      <c r="B1" s="16"/>
      <c r="C1" s="16"/>
      <c r="D1" s="16"/>
      <c r="E1" s="16"/>
      <c r="F1" s="16"/>
      <c r="G1" s="16"/>
      <c r="H1" s="16"/>
      <c r="I1" s="16"/>
      <c r="J1" s="16"/>
      <c r="K1" s="16"/>
      <c r="L1" s="16"/>
      <c r="M1" s="16"/>
      <c r="N1" s="16"/>
      <c r="O1" s="16"/>
      <c r="P1" s="16"/>
      <c r="Q1" s="16"/>
      <c r="R1" s="16"/>
      <c r="S1" s="17">
        <f t="shared" ref="S1:AB1" si="0">VLOOKUP(MAX($A$3:$A$147),$A$3:$H$147,2)</f>
        <v>0</v>
      </c>
      <c r="T1" s="17">
        <f t="shared" si="0"/>
        <v>0</v>
      </c>
      <c r="U1" s="17">
        <f t="shared" si="0"/>
        <v>0</v>
      </c>
      <c r="V1" s="17">
        <f t="shared" si="0"/>
        <v>0</v>
      </c>
      <c r="W1" s="17">
        <f t="shared" si="0"/>
        <v>0</v>
      </c>
      <c r="X1" s="17">
        <f t="shared" si="0"/>
        <v>0</v>
      </c>
      <c r="Y1" s="17">
        <f t="shared" si="0"/>
        <v>0</v>
      </c>
      <c r="Z1" s="17">
        <f t="shared" si="0"/>
        <v>0</v>
      </c>
      <c r="AA1" s="17">
        <f t="shared" si="0"/>
        <v>0</v>
      </c>
      <c r="AB1" s="17">
        <f t="shared" si="0"/>
        <v>0</v>
      </c>
      <c r="AC1" s="18"/>
      <c r="AD1" s="18"/>
      <c r="AE1" s="18"/>
      <c r="AF1" s="18"/>
      <c r="AG1" s="18"/>
    </row>
    <row r="2" spans="1:33" ht="16.5" thickBot="1" x14ac:dyDescent="0.3">
      <c r="A2" s="73"/>
      <c r="B2" s="20"/>
      <c r="C2" s="20"/>
      <c r="D2" s="73"/>
      <c r="E2" s="20"/>
      <c r="F2" s="20"/>
      <c r="G2" s="73"/>
      <c r="H2" s="20"/>
      <c r="I2" s="20"/>
      <c r="J2" s="73"/>
      <c r="K2" s="23"/>
      <c r="L2" s="23"/>
      <c r="M2" s="23"/>
      <c r="N2" s="23"/>
      <c r="O2" s="23"/>
      <c r="P2" s="23"/>
      <c r="Q2" s="23"/>
      <c r="R2" s="23"/>
      <c r="S2" s="23"/>
      <c r="T2" s="23"/>
      <c r="U2" s="23"/>
      <c r="V2" s="23"/>
      <c r="W2" s="23"/>
      <c r="X2" s="23"/>
      <c r="Y2" s="23"/>
      <c r="Z2" s="23"/>
      <c r="AA2" s="23"/>
      <c r="AB2" s="23"/>
      <c r="AC2" s="23"/>
      <c r="AD2" s="23"/>
      <c r="AE2" s="23"/>
      <c r="AF2" s="23"/>
      <c r="AG2" s="23"/>
    </row>
    <row r="3" spans="1:33" x14ac:dyDescent="0.25">
      <c r="A3" s="68" t="s">
        <v>38</v>
      </c>
      <c r="B3" s="69" t="s">
        <v>39</v>
      </c>
      <c r="C3" s="69" t="s">
        <v>40</v>
      </c>
      <c r="D3" s="69" t="s">
        <v>41</v>
      </c>
      <c r="E3" s="68" t="s">
        <v>42</v>
      </c>
      <c r="F3" s="68" t="s">
        <v>43</v>
      </c>
      <c r="G3" s="68" t="s">
        <v>44</v>
      </c>
      <c r="H3" s="68" t="s">
        <v>45</v>
      </c>
      <c r="I3" s="68" t="s">
        <v>46</v>
      </c>
      <c r="J3" s="68" t="s">
        <v>47</v>
      </c>
      <c r="K3" s="23"/>
      <c r="L3" s="29"/>
      <c r="M3" s="30"/>
      <c r="N3" s="30"/>
      <c r="O3" s="30"/>
      <c r="P3" s="30"/>
      <c r="Q3" s="30"/>
      <c r="R3" s="30"/>
      <c r="S3" s="30"/>
      <c r="T3" s="30"/>
      <c r="U3" s="30"/>
      <c r="V3" s="30"/>
      <c r="W3" s="30"/>
      <c r="X3" s="30"/>
      <c r="Y3" s="30"/>
      <c r="Z3" s="30"/>
      <c r="AA3" s="30"/>
      <c r="AB3" s="30"/>
      <c r="AC3" s="30"/>
      <c r="AD3" s="30"/>
      <c r="AE3" s="31"/>
      <c r="AF3" s="23"/>
      <c r="AG3" s="23"/>
    </row>
    <row r="4" spans="1:33" x14ac:dyDescent="0.25">
      <c r="A4" s="32">
        <v>1</v>
      </c>
      <c r="B4" s="33" t="s">
        <v>48</v>
      </c>
      <c r="C4" s="34" t="s">
        <v>49</v>
      </c>
      <c r="D4" s="34" t="s">
        <v>50</v>
      </c>
      <c r="E4" s="34" t="s">
        <v>51</v>
      </c>
      <c r="F4" s="35" t="s">
        <v>52</v>
      </c>
      <c r="G4" s="35">
        <v>30062</v>
      </c>
      <c r="H4" s="33" t="s">
        <v>53</v>
      </c>
      <c r="I4" s="37" t="s">
        <v>54</v>
      </c>
      <c r="J4" s="70">
        <v>157665</v>
      </c>
      <c r="K4" s="23"/>
      <c r="L4" s="300" t="s">
        <v>55</v>
      </c>
      <c r="M4" s="301"/>
      <c r="N4" s="301"/>
      <c r="O4" s="301"/>
      <c r="P4" s="301"/>
      <c r="Q4" s="301"/>
      <c r="R4" s="301"/>
      <c r="S4" s="301"/>
      <c r="T4" s="301"/>
      <c r="U4" s="301"/>
      <c r="V4" s="301"/>
      <c r="W4" s="301"/>
      <c r="X4" s="301"/>
      <c r="Y4" s="301"/>
      <c r="Z4" s="301"/>
      <c r="AA4" s="301"/>
      <c r="AB4" s="301"/>
      <c r="AC4" s="301"/>
      <c r="AD4" s="301"/>
      <c r="AE4" s="302"/>
      <c r="AF4" s="23"/>
      <c r="AG4" s="23"/>
    </row>
    <row r="5" spans="1:33" x14ac:dyDescent="0.25">
      <c r="A5" s="32">
        <v>2</v>
      </c>
      <c r="B5" s="39" t="s">
        <v>56</v>
      </c>
      <c r="C5" s="39" t="s">
        <v>57</v>
      </c>
      <c r="D5" s="39" t="s">
        <v>58</v>
      </c>
      <c r="E5" s="39" t="s">
        <v>51</v>
      </c>
      <c r="F5" s="40" t="s">
        <v>52</v>
      </c>
      <c r="G5" s="40">
        <v>30063</v>
      </c>
      <c r="H5" s="42" t="s">
        <v>59</v>
      </c>
      <c r="I5" s="43" t="s">
        <v>60</v>
      </c>
      <c r="J5" s="71">
        <v>156340</v>
      </c>
      <c r="K5" s="23"/>
      <c r="L5" s="45"/>
      <c r="M5" s="46"/>
      <c r="N5" s="46"/>
      <c r="O5" s="46"/>
      <c r="P5" s="46"/>
      <c r="Q5" s="46"/>
      <c r="R5" s="46"/>
      <c r="S5" s="46"/>
      <c r="T5" s="46"/>
      <c r="U5" s="46"/>
      <c r="V5" s="46"/>
      <c r="W5" s="46"/>
      <c r="X5" s="46"/>
      <c r="Y5" s="46"/>
      <c r="Z5" s="46"/>
      <c r="AA5" s="46"/>
      <c r="AB5" s="46"/>
      <c r="AC5" s="46"/>
      <c r="AD5" s="46"/>
      <c r="AE5" s="47"/>
      <c r="AF5" s="23"/>
      <c r="AG5" s="23"/>
    </row>
    <row r="6" spans="1:33" x14ac:dyDescent="0.25">
      <c r="A6" s="32">
        <v>3</v>
      </c>
      <c r="B6" s="39" t="s">
        <v>61</v>
      </c>
      <c r="C6" s="42" t="s">
        <v>62</v>
      </c>
      <c r="D6" s="39" t="s">
        <v>63</v>
      </c>
      <c r="E6" s="39" t="s">
        <v>51</v>
      </c>
      <c r="F6" s="40" t="s">
        <v>52</v>
      </c>
      <c r="G6" s="40">
        <v>30064</v>
      </c>
      <c r="H6" s="42" t="s">
        <v>64</v>
      </c>
      <c r="I6" s="43" t="s">
        <v>65</v>
      </c>
      <c r="J6" s="71">
        <v>81480</v>
      </c>
      <c r="K6" s="23"/>
      <c r="L6" s="45"/>
      <c r="M6" s="48" t="s">
        <v>39</v>
      </c>
      <c r="N6" s="46"/>
      <c r="O6" s="46"/>
      <c r="P6" s="49" t="str">
        <f ca="1">+INDEX(CollinsRange,ROWS(CollinsRange),COLUMN(Last_Name1))</f>
        <v>Collins</v>
      </c>
      <c r="Q6" s="50"/>
      <c r="R6" s="50"/>
      <c r="S6" s="50"/>
      <c r="T6" s="50"/>
      <c r="U6" s="51"/>
      <c r="V6" s="46"/>
      <c r="W6" s="52" t="s">
        <v>42</v>
      </c>
      <c r="X6" s="46"/>
      <c r="Y6" s="49" t="str">
        <f ca="1">+INDEX(CollinsRange,ROWS(CollinsRange),COLUMN(City_1))</f>
        <v>Norcross</v>
      </c>
      <c r="Z6" s="50"/>
      <c r="AA6" s="50"/>
      <c r="AB6" s="50"/>
      <c r="AC6" s="50"/>
      <c r="AD6" s="51"/>
      <c r="AE6" s="47"/>
      <c r="AF6" s="23"/>
      <c r="AG6" s="23"/>
    </row>
    <row r="7" spans="1:33" x14ac:dyDescent="0.25">
      <c r="A7" s="32">
        <v>4</v>
      </c>
      <c r="B7" s="39" t="s">
        <v>66</v>
      </c>
      <c r="C7" s="42" t="s">
        <v>67</v>
      </c>
      <c r="D7" s="39" t="s">
        <v>68</v>
      </c>
      <c r="E7" s="39" t="s">
        <v>51</v>
      </c>
      <c r="F7" s="40" t="s">
        <v>52</v>
      </c>
      <c r="G7" s="40">
        <v>30065</v>
      </c>
      <c r="H7" s="42" t="s">
        <v>69</v>
      </c>
      <c r="I7" s="43" t="s">
        <v>54</v>
      </c>
      <c r="J7" s="71">
        <v>202578</v>
      </c>
      <c r="K7" s="23"/>
      <c r="L7" s="45"/>
      <c r="M7" s="46"/>
      <c r="N7" s="46"/>
      <c r="O7" s="46"/>
      <c r="P7" s="46"/>
      <c r="Q7" s="46"/>
      <c r="R7" s="46"/>
      <c r="S7" s="46"/>
      <c r="T7" s="46"/>
      <c r="U7" s="46"/>
      <c r="V7" s="46"/>
      <c r="W7" s="46"/>
      <c r="X7" s="46"/>
      <c r="Y7" s="46"/>
      <c r="Z7" s="46"/>
      <c r="AA7" s="46"/>
      <c r="AB7" s="46"/>
      <c r="AC7" s="46"/>
      <c r="AD7" s="46"/>
      <c r="AE7" s="47"/>
      <c r="AF7" s="23"/>
      <c r="AG7" s="23"/>
    </row>
    <row r="8" spans="1:33" x14ac:dyDescent="0.25">
      <c r="A8" s="32">
        <v>5</v>
      </c>
      <c r="B8" s="42" t="s">
        <v>70</v>
      </c>
      <c r="C8" s="39" t="s">
        <v>71</v>
      </c>
      <c r="D8" s="39" t="s">
        <v>72</v>
      </c>
      <c r="E8" s="39" t="s">
        <v>51</v>
      </c>
      <c r="F8" s="40" t="s">
        <v>52</v>
      </c>
      <c r="G8" s="40">
        <v>30066</v>
      </c>
      <c r="H8" s="42" t="s">
        <v>73</v>
      </c>
      <c r="I8" s="43" t="s">
        <v>60</v>
      </c>
      <c r="J8" s="71">
        <v>177209</v>
      </c>
      <c r="K8" s="23"/>
      <c r="L8" s="45"/>
      <c r="M8" s="48" t="s">
        <v>40</v>
      </c>
      <c r="N8" s="46"/>
      <c r="O8" s="46"/>
      <c r="P8" s="49" t="str">
        <f ca="1">+INDEX(CollinsRange,ROWS(CollinsRange),COLUMN(First_Name1))</f>
        <v>Carlton</v>
      </c>
      <c r="Q8" s="50"/>
      <c r="R8" s="50"/>
      <c r="S8" s="50"/>
      <c r="T8" s="50"/>
      <c r="U8" s="51"/>
      <c r="V8" s="46"/>
      <c r="W8" s="52" t="s">
        <v>43</v>
      </c>
      <c r="X8" s="46"/>
      <c r="Y8" s="49" t="str">
        <f ca="1">+INDEX(CollinsRange,ROWS(CollinsRange),COLUMN(State))</f>
        <v xml:space="preserve">GA </v>
      </c>
      <c r="Z8" s="50"/>
      <c r="AA8" s="50"/>
      <c r="AB8" s="50"/>
      <c r="AC8" s="50"/>
      <c r="AD8" s="51"/>
      <c r="AE8" s="47"/>
      <c r="AF8" s="23"/>
      <c r="AG8" s="23"/>
    </row>
    <row r="9" spans="1:33" x14ac:dyDescent="0.25">
      <c r="A9" s="32">
        <v>6</v>
      </c>
      <c r="B9" s="39" t="s">
        <v>74</v>
      </c>
      <c r="C9" s="39" t="s">
        <v>75</v>
      </c>
      <c r="D9" s="39" t="s">
        <v>76</v>
      </c>
      <c r="E9" s="39" t="s">
        <v>77</v>
      </c>
      <c r="F9" s="40" t="s">
        <v>52</v>
      </c>
      <c r="G9" s="40">
        <v>30092</v>
      </c>
      <c r="H9" s="42" t="s">
        <v>78</v>
      </c>
      <c r="I9" s="43" t="s">
        <v>65</v>
      </c>
      <c r="J9" s="71">
        <v>212254.23</v>
      </c>
      <c r="K9" s="23"/>
      <c r="L9" s="45"/>
      <c r="M9" s="46"/>
      <c r="N9" s="46"/>
      <c r="O9" s="46"/>
      <c r="P9" s="46"/>
      <c r="Q9" s="46"/>
      <c r="R9" s="46"/>
      <c r="S9" s="46"/>
      <c r="T9" s="46"/>
      <c r="U9" s="46"/>
      <c r="V9" s="46"/>
      <c r="W9" s="46"/>
      <c r="X9" s="46"/>
      <c r="Y9" s="46"/>
      <c r="Z9" s="46"/>
      <c r="AA9" s="46"/>
      <c r="AB9" s="46"/>
      <c r="AC9" s="46"/>
      <c r="AD9" s="46"/>
      <c r="AE9" s="47"/>
      <c r="AF9" s="23"/>
      <c r="AG9" s="23"/>
    </row>
    <row r="10" spans="1:33" x14ac:dyDescent="0.25">
      <c r="A10" s="32">
        <v>7</v>
      </c>
      <c r="B10" s="39" t="s">
        <v>79</v>
      </c>
      <c r="C10" s="39" t="s">
        <v>80</v>
      </c>
      <c r="D10" s="39" t="s">
        <v>50</v>
      </c>
      <c r="E10" s="39" t="s">
        <v>81</v>
      </c>
      <c r="F10" s="40" t="s">
        <v>82</v>
      </c>
      <c r="G10" s="40">
        <v>30092</v>
      </c>
      <c r="H10" s="42" t="s">
        <v>53</v>
      </c>
      <c r="I10" s="43" t="s">
        <v>54</v>
      </c>
      <c r="J10" s="71">
        <v>124533.45</v>
      </c>
      <c r="K10" s="23"/>
      <c r="L10" s="45"/>
      <c r="M10" s="48" t="s">
        <v>41</v>
      </c>
      <c r="N10" s="46"/>
      <c r="O10" s="46"/>
      <c r="P10" s="49" t="str">
        <f ca="1">+INDEX(CollinsRange,ROWS(CollinsRange),COLUMN(Address))</f>
        <v>100 Peachtree Street</v>
      </c>
      <c r="Q10" s="50"/>
      <c r="R10" s="50"/>
      <c r="S10" s="50"/>
      <c r="T10" s="50"/>
      <c r="U10" s="51"/>
      <c r="V10" s="46"/>
      <c r="W10" s="52" t="s">
        <v>44</v>
      </c>
      <c r="X10" s="46"/>
      <c r="Y10" s="77" t="str">
        <f ca="1">TEXT(INDEX(CollinsRange,ROWS(CollinsRange),COLUMN(Zip)),0)</f>
        <v>30092</v>
      </c>
      <c r="Z10" s="50"/>
      <c r="AA10" s="50"/>
      <c r="AB10" s="50"/>
      <c r="AC10" s="50"/>
      <c r="AD10" s="51"/>
      <c r="AE10" s="47"/>
      <c r="AF10" s="23"/>
      <c r="AG10" s="23"/>
    </row>
    <row r="11" spans="1:33" x14ac:dyDescent="0.25">
      <c r="A11" s="32">
        <v>8</v>
      </c>
      <c r="B11" s="39"/>
      <c r="C11" s="39"/>
      <c r="D11" s="39"/>
      <c r="E11" s="39"/>
      <c r="F11" s="39"/>
      <c r="G11" s="39"/>
      <c r="H11" s="39"/>
      <c r="I11" s="40"/>
      <c r="J11" s="39"/>
      <c r="K11" s="23"/>
      <c r="L11" s="45"/>
      <c r="M11" s="46"/>
      <c r="N11" s="46"/>
      <c r="O11" s="46"/>
      <c r="P11" s="46"/>
      <c r="Q11" s="46"/>
      <c r="R11" s="46"/>
      <c r="S11" s="46"/>
      <c r="T11" s="46"/>
      <c r="U11" s="46"/>
      <c r="V11" s="46"/>
      <c r="W11" s="46"/>
      <c r="X11" s="46"/>
      <c r="Y11" s="46"/>
      <c r="Z11" s="46"/>
      <c r="AA11" s="46"/>
      <c r="AB11" s="46"/>
      <c r="AC11" s="46"/>
      <c r="AD11" s="46"/>
      <c r="AE11" s="47"/>
      <c r="AF11" s="23"/>
      <c r="AG11" s="23"/>
    </row>
    <row r="12" spans="1:33" x14ac:dyDescent="0.25">
      <c r="A12" s="32">
        <v>9</v>
      </c>
      <c r="B12" s="39"/>
      <c r="C12" s="39"/>
      <c r="D12" s="39"/>
      <c r="E12" s="39"/>
      <c r="F12" s="39"/>
      <c r="G12" s="39"/>
      <c r="H12" s="39"/>
      <c r="I12" s="40"/>
      <c r="J12" s="39"/>
      <c r="K12" s="23"/>
      <c r="L12" s="45"/>
      <c r="M12" s="52" t="s">
        <v>45</v>
      </c>
      <c r="N12" s="46"/>
      <c r="O12" s="46"/>
      <c r="P12" s="49" t="str">
        <f ca="1">+INDEX(CollinsRange,ROWS(CollinsRange),COLUMN(Phone))</f>
        <v>770.842.5902</v>
      </c>
      <c r="Q12" s="50"/>
      <c r="R12" s="50"/>
      <c r="S12" s="50"/>
      <c r="T12" s="50"/>
      <c r="U12" s="51"/>
      <c r="V12" s="46"/>
      <c r="W12" s="60" t="s">
        <v>99</v>
      </c>
      <c r="X12" s="46"/>
      <c r="Y12" s="49" t="str">
        <f ca="1">+INDEX(CollinsRange,ROWS(CollinsRange),COLUMN(Pension_Plan))</f>
        <v>Plan A</v>
      </c>
      <c r="Z12" s="50"/>
      <c r="AA12" s="50"/>
      <c r="AB12" s="50"/>
      <c r="AC12" s="50"/>
      <c r="AD12" s="51"/>
      <c r="AE12" s="47"/>
      <c r="AF12" s="23"/>
      <c r="AG12" s="23"/>
    </row>
    <row r="13" spans="1:33" x14ac:dyDescent="0.25">
      <c r="A13" s="32">
        <v>10</v>
      </c>
      <c r="B13" s="39"/>
      <c r="C13" s="39"/>
      <c r="D13" s="39"/>
      <c r="E13" s="39"/>
      <c r="F13" s="39"/>
      <c r="G13" s="39"/>
      <c r="H13" s="39"/>
      <c r="I13" s="40"/>
      <c r="J13" s="39"/>
      <c r="K13" s="23"/>
      <c r="L13" s="45"/>
      <c r="M13" s="46"/>
      <c r="N13" s="46"/>
      <c r="O13" s="46"/>
      <c r="P13" s="46"/>
      <c r="Q13" s="46"/>
      <c r="R13" s="46"/>
      <c r="S13" s="46"/>
      <c r="T13" s="46"/>
      <c r="U13" s="46"/>
      <c r="V13" s="46"/>
      <c r="W13" s="46"/>
      <c r="X13" s="46"/>
      <c r="Y13" s="46"/>
      <c r="Z13" s="46"/>
      <c r="AA13" s="46"/>
      <c r="AB13" s="46"/>
      <c r="AC13" s="46"/>
      <c r="AD13" s="46"/>
      <c r="AE13" s="47"/>
      <c r="AF13" s="23"/>
      <c r="AG13" s="23"/>
    </row>
    <row r="14" spans="1:33" x14ac:dyDescent="0.25">
      <c r="A14" s="32">
        <v>11</v>
      </c>
      <c r="B14" s="39"/>
      <c r="C14" s="39"/>
      <c r="D14" s="39"/>
      <c r="E14" s="39"/>
      <c r="F14" s="39"/>
      <c r="G14" s="39"/>
      <c r="H14" s="39"/>
      <c r="I14" s="40"/>
      <c r="J14" s="39"/>
      <c r="K14" s="23"/>
      <c r="L14" s="45"/>
      <c r="M14" s="52" t="s">
        <v>90</v>
      </c>
      <c r="N14" s="46"/>
      <c r="O14" s="46"/>
      <c r="P14" s="46"/>
      <c r="Q14" s="46"/>
      <c r="R14" s="46"/>
      <c r="S14" s="46"/>
      <c r="T14" s="46"/>
      <c r="U14" s="46"/>
      <c r="V14" s="46"/>
      <c r="W14" s="46"/>
      <c r="X14" s="46"/>
      <c r="Y14" s="49" t="str">
        <f ca="1">TEXT(INDEX(CollinsRange,ROWS(CollinsRange),COLUMN(Balance)),"$#,###.##")</f>
        <v>$124,533.45</v>
      </c>
      <c r="Z14" s="50"/>
      <c r="AA14" s="50"/>
      <c r="AB14" s="50"/>
      <c r="AC14" s="50"/>
      <c r="AD14" s="51"/>
      <c r="AE14" s="47"/>
      <c r="AF14" s="23"/>
      <c r="AG14" s="23"/>
    </row>
    <row r="15" spans="1:33" x14ac:dyDescent="0.25">
      <c r="A15" s="32">
        <v>12</v>
      </c>
      <c r="B15" s="39"/>
      <c r="C15" s="39"/>
      <c r="D15" s="39"/>
      <c r="E15" s="39"/>
      <c r="F15" s="39"/>
      <c r="G15" s="39"/>
      <c r="H15" s="39"/>
      <c r="I15" s="40"/>
      <c r="J15" s="39"/>
      <c r="K15" s="23"/>
      <c r="L15" s="45"/>
      <c r="M15" s="46"/>
      <c r="N15" s="46"/>
      <c r="O15" s="46"/>
      <c r="P15" s="46"/>
      <c r="Q15" s="46"/>
      <c r="R15" s="46"/>
      <c r="S15" s="46"/>
      <c r="T15" s="46"/>
      <c r="U15" s="46"/>
      <c r="V15" s="46"/>
      <c r="W15" s="46"/>
      <c r="X15" s="46"/>
      <c r="Y15" s="46"/>
      <c r="Z15" s="46"/>
      <c r="AA15" s="46"/>
      <c r="AB15" s="46"/>
      <c r="AC15" s="46"/>
      <c r="AD15" s="46"/>
      <c r="AE15" s="47"/>
      <c r="AF15" s="23"/>
      <c r="AG15" s="23"/>
    </row>
    <row r="16" spans="1:33" x14ac:dyDescent="0.25">
      <c r="A16" s="32">
        <v>13</v>
      </c>
      <c r="B16" s="39"/>
      <c r="C16" s="39"/>
      <c r="D16" s="39"/>
      <c r="E16" s="39"/>
      <c r="F16" s="39"/>
      <c r="G16" s="39"/>
      <c r="H16" s="39"/>
      <c r="I16" s="40"/>
      <c r="J16" s="39"/>
      <c r="K16" s="23"/>
      <c r="L16" s="303" t="s">
        <v>91</v>
      </c>
      <c r="M16" s="304"/>
      <c r="N16" s="304"/>
      <c r="O16" s="304"/>
      <c r="P16" s="304"/>
      <c r="Q16" s="304"/>
      <c r="R16" s="304"/>
      <c r="S16" s="304"/>
      <c r="T16" s="304"/>
      <c r="U16" s="304"/>
      <c r="V16" s="304"/>
      <c r="W16" s="304"/>
      <c r="X16" s="304"/>
      <c r="Y16" s="304"/>
      <c r="Z16" s="304"/>
      <c r="AA16" s="304"/>
      <c r="AB16" s="304"/>
      <c r="AC16" s="304"/>
      <c r="AD16" s="304"/>
      <c r="AE16" s="305"/>
      <c r="AF16" s="23"/>
      <c r="AG16" s="23"/>
    </row>
    <row r="17" spans="1:33" ht="16.5" thickBot="1" x14ac:dyDescent="0.3">
      <c r="A17" s="32">
        <v>14</v>
      </c>
      <c r="B17" s="39"/>
      <c r="C17" s="39"/>
      <c r="D17" s="39"/>
      <c r="E17" s="39"/>
      <c r="F17" s="39"/>
      <c r="G17" s="39"/>
      <c r="H17" s="39"/>
      <c r="I17" s="40"/>
      <c r="J17" s="39"/>
      <c r="K17" s="23"/>
      <c r="L17" s="61"/>
      <c r="M17" s="62"/>
      <c r="N17" s="62"/>
      <c r="O17" s="62"/>
      <c r="P17" s="62"/>
      <c r="Q17" s="62"/>
      <c r="R17" s="62"/>
      <c r="S17" s="62"/>
      <c r="T17" s="62"/>
      <c r="U17" s="62"/>
      <c r="V17" s="62"/>
      <c r="W17" s="62"/>
      <c r="X17" s="62"/>
      <c r="Y17" s="62"/>
      <c r="Z17" s="62"/>
      <c r="AA17" s="62"/>
      <c r="AB17" s="62"/>
      <c r="AC17" s="62"/>
      <c r="AD17" s="62"/>
      <c r="AE17" s="63"/>
      <c r="AF17" s="23"/>
      <c r="AG17" s="23"/>
    </row>
    <row r="18" spans="1:33" x14ac:dyDescent="0.25">
      <c r="A18" s="32">
        <v>15</v>
      </c>
      <c r="B18" s="39"/>
      <c r="C18" s="39"/>
      <c r="D18" s="39"/>
      <c r="E18" s="39"/>
      <c r="F18" s="39"/>
      <c r="G18" s="39"/>
      <c r="H18" s="39"/>
      <c r="I18" s="40"/>
      <c r="J18" s="39"/>
      <c r="K18" s="23"/>
      <c r="L18" s="23"/>
      <c r="M18" s="23"/>
      <c r="N18" s="23"/>
      <c r="O18" s="23"/>
      <c r="P18" s="23"/>
      <c r="Q18" s="23"/>
      <c r="R18" s="23"/>
      <c r="S18" s="23"/>
      <c r="T18" s="23"/>
      <c r="U18" s="23"/>
      <c r="V18" s="23"/>
      <c r="W18" s="23"/>
      <c r="X18" s="23"/>
      <c r="Y18" s="23"/>
      <c r="Z18" s="23"/>
      <c r="AA18" s="23"/>
      <c r="AB18" s="23"/>
      <c r="AC18" s="23"/>
      <c r="AD18" s="23"/>
      <c r="AE18" s="23"/>
      <c r="AF18" s="23"/>
      <c r="AG18" s="23"/>
    </row>
    <row r="19" spans="1:33" x14ac:dyDescent="0.25">
      <c r="A19" s="32">
        <v>16</v>
      </c>
      <c r="B19" s="39"/>
      <c r="C19" s="39"/>
      <c r="D19" s="39"/>
      <c r="E19" s="39"/>
      <c r="F19" s="39"/>
      <c r="G19" s="39"/>
      <c r="H19" s="39"/>
      <c r="I19" s="40"/>
      <c r="J19" s="39"/>
      <c r="K19" s="23"/>
      <c r="L19" s="23"/>
      <c r="M19" s="23"/>
      <c r="N19" s="23"/>
      <c r="O19" s="23"/>
      <c r="P19" s="23"/>
      <c r="Q19" s="23"/>
      <c r="R19" s="23"/>
      <c r="S19" s="23"/>
      <c r="T19" s="23"/>
      <c r="U19" s="23"/>
      <c r="V19" s="23"/>
      <c r="W19" s="23"/>
      <c r="X19" s="23"/>
      <c r="Y19" s="23"/>
      <c r="Z19" s="23"/>
      <c r="AA19" s="23"/>
      <c r="AB19" s="23"/>
      <c r="AC19" s="23"/>
      <c r="AD19" s="23"/>
      <c r="AE19" s="23"/>
      <c r="AF19" s="23"/>
      <c r="AG19" s="23"/>
    </row>
    <row r="20" spans="1:33" x14ac:dyDescent="0.25">
      <c r="A20" s="32">
        <v>17</v>
      </c>
      <c r="B20" s="39"/>
      <c r="C20" s="39"/>
      <c r="D20" s="39"/>
      <c r="E20" s="39"/>
      <c r="F20" s="39"/>
      <c r="G20" s="39"/>
      <c r="H20" s="39"/>
      <c r="I20" s="40"/>
      <c r="J20" s="39"/>
      <c r="K20" s="23"/>
      <c r="L20" s="23"/>
      <c r="M20" s="23"/>
      <c r="N20" s="23"/>
      <c r="O20" s="23"/>
      <c r="P20" s="23"/>
      <c r="Q20" s="23"/>
      <c r="R20" s="23"/>
      <c r="S20" s="23"/>
      <c r="T20" s="23"/>
      <c r="U20" s="23"/>
      <c r="V20" s="23"/>
      <c r="W20" s="23"/>
      <c r="X20" s="23"/>
      <c r="Y20" s="23"/>
      <c r="Z20" s="23"/>
      <c r="AA20" s="23"/>
      <c r="AB20" s="23"/>
      <c r="AC20" s="23"/>
      <c r="AD20" s="23"/>
      <c r="AE20" s="23"/>
      <c r="AF20" s="23"/>
      <c r="AG20" s="23"/>
    </row>
    <row r="21" spans="1:33" x14ac:dyDescent="0.25">
      <c r="A21" s="32">
        <v>18</v>
      </c>
      <c r="B21" s="39"/>
      <c r="C21" s="39"/>
      <c r="D21" s="39"/>
      <c r="E21" s="39"/>
      <c r="F21" s="39"/>
      <c r="G21" s="39"/>
      <c r="H21" s="39"/>
      <c r="I21" s="40"/>
      <c r="J21" s="39"/>
      <c r="K21" s="23"/>
      <c r="L21" s="23"/>
      <c r="M21" s="23"/>
      <c r="N21" s="23"/>
      <c r="O21" s="23"/>
      <c r="P21" s="23"/>
      <c r="Q21" s="23"/>
      <c r="R21" s="23"/>
      <c r="S21" s="23"/>
      <c r="T21" s="23"/>
      <c r="U21" s="23"/>
      <c r="V21" s="23"/>
      <c r="W21" s="23"/>
      <c r="X21" s="23"/>
      <c r="Y21" s="23"/>
      <c r="Z21" s="23"/>
      <c r="AA21" s="23"/>
      <c r="AB21" s="23"/>
      <c r="AC21" s="23"/>
      <c r="AD21" s="23"/>
      <c r="AE21" s="23"/>
      <c r="AF21" s="23"/>
      <c r="AG21" s="23"/>
    </row>
    <row r="22" spans="1:33" x14ac:dyDescent="0.25">
      <c r="A22" s="32">
        <v>19</v>
      </c>
      <c r="B22" s="39"/>
      <c r="C22" s="39"/>
      <c r="D22" s="39"/>
      <c r="E22" s="39"/>
      <c r="F22" s="39"/>
      <c r="G22" s="39"/>
      <c r="H22" s="39"/>
      <c r="I22" s="40"/>
      <c r="J22" s="39"/>
      <c r="K22" s="23"/>
      <c r="L22" s="23"/>
      <c r="M22" s="23"/>
      <c r="N22" s="23"/>
      <c r="O22" s="23"/>
      <c r="P22" s="23"/>
      <c r="Q22" s="23"/>
      <c r="R22" s="23"/>
      <c r="S22" s="23"/>
      <c r="T22" s="23"/>
      <c r="U22" s="23"/>
      <c r="V22" s="23"/>
      <c r="W22" s="23"/>
      <c r="X22" s="23"/>
      <c r="Y22" s="23"/>
      <c r="Z22" s="23"/>
      <c r="AA22" s="23"/>
      <c r="AB22" s="23"/>
      <c r="AC22" s="23"/>
      <c r="AD22" s="23"/>
      <c r="AE22" s="23"/>
      <c r="AF22" s="23"/>
      <c r="AG22" s="23"/>
    </row>
    <row r="23" spans="1:33" x14ac:dyDescent="0.25">
      <c r="A23" s="32">
        <v>20</v>
      </c>
      <c r="B23" s="39"/>
      <c r="C23" s="39"/>
      <c r="D23" s="39"/>
      <c r="E23" s="39"/>
      <c r="F23" s="39"/>
      <c r="G23" s="39"/>
      <c r="H23" s="39"/>
      <c r="I23" s="40"/>
      <c r="J23" s="39"/>
      <c r="K23" s="23"/>
      <c r="L23" s="23"/>
      <c r="M23" s="23"/>
      <c r="N23" s="23"/>
      <c r="O23" s="23"/>
      <c r="P23" s="23"/>
      <c r="Q23" s="23"/>
      <c r="R23" s="23"/>
      <c r="S23" s="23"/>
      <c r="T23" s="23"/>
      <c r="U23" s="23"/>
      <c r="V23" s="23"/>
      <c r="W23" s="23"/>
      <c r="X23" s="23"/>
      <c r="Y23" s="23"/>
      <c r="Z23" s="23"/>
      <c r="AA23" s="23"/>
      <c r="AB23" s="23"/>
      <c r="AC23" s="23"/>
      <c r="AD23" s="23"/>
      <c r="AE23" s="23"/>
      <c r="AF23" s="23"/>
      <c r="AG23" s="23"/>
    </row>
    <row r="24" spans="1:33" x14ac:dyDescent="0.25">
      <c r="A24" s="32">
        <v>21</v>
      </c>
      <c r="B24" s="39"/>
      <c r="C24" s="39"/>
      <c r="D24" s="39"/>
      <c r="E24" s="39"/>
      <c r="F24" s="39"/>
      <c r="G24" s="39"/>
      <c r="H24" s="39"/>
      <c r="I24" s="40"/>
      <c r="J24" s="39"/>
      <c r="K24" s="23"/>
      <c r="L24" s="23"/>
      <c r="M24" s="23"/>
      <c r="N24" s="23"/>
      <c r="O24" s="23"/>
      <c r="P24" s="23"/>
      <c r="Q24" s="23"/>
      <c r="R24" s="23"/>
      <c r="S24" s="23"/>
      <c r="T24" s="23"/>
      <c r="U24" s="23"/>
      <c r="V24" s="23"/>
      <c r="W24" s="23"/>
      <c r="X24" s="23"/>
      <c r="Y24" s="23"/>
      <c r="Z24" s="23"/>
      <c r="AA24" s="23"/>
      <c r="AB24" s="23"/>
      <c r="AC24" s="23"/>
      <c r="AD24" s="23"/>
      <c r="AE24" s="23"/>
      <c r="AF24" s="23"/>
      <c r="AG24" s="23"/>
    </row>
    <row r="25" spans="1:33" x14ac:dyDescent="0.25">
      <c r="A25" s="32">
        <v>22</v>
      </c>
      <c r="B25" s="39"/>
      <c r="C25" s="39"/>
      <c r="D25" s="39"/>
      <c r="E25" s="39"/>
      <c r="F25" s="39"/>
      <c r="G25" s="39"/>
      <c r="H25" s="39"/>
      <c r="I25" s="40"/>
      <c r="J25" s="39"/>
      <c r="K25" s="23"/>
      <c r="L25" s="23"/>
      <c r="M25" s="23"/>
      <c r="N25" s="23"/>
      <c r="O25" s="23"/>
      <c r="P25" s="23"/>
      <c r="Q25" s="23"/>
      <c r="R25" s="23"/>
      <c r="S25" s="23"/>
      <c r="T25" s="23"/>
      <c r="U25" s="23"/>
      <c r="V25" s="23"/>
      <c r="W25" s="23"/>
      <c r="X25" s="23"/>
      <c r="Y25" s="23"/>
      <c r="Z25" s="23"/>
      <c r="AA25" s="23"/>
      <c r="AB25" s="23"/>
      <c r="AC25" s="23"/>
      <c r="AD25" s="23"/>
      <c r="AE25" s="23"/>
      <c r="AF25" s="23"/>
      <c r="AG25" s="23"/>
    </row>
    <row r="26" spans="1:33" x14ac:dyDescent="0.25">
      <c r="A26" s="32">
        <v>23</v>
      </c>
      <c r="B26" s="39"/>
      <c r="C26" s="39"/>
      <c r="D26" s="39"/>
      <c r="E26" s="39"/>
      <c r="F26" s="39"/>
      <c r="G26" s="39"/>
      <c r="H26" s="39"/>
      <c r="I26" s="40"/>
      <c r="J26" s="39"/>
      <c r="K26" s="23"/>
      <c r="L26" s="23"/>
      <c r="M26" s="23"/>
      <c r="N26" s="23"/>
      <c r="O26" s="23"/>
      <c r="P26" s="23"/>
      <c r="Q26" s="23"/>
      <c r="R26" s="23"/>
      <c r="S26" s="23"/>
      <c r="T26" s="23"/>
      <c r="U26" s="23"/>
      <c r="V26" s="23"/>
      <c r="W26" s="23"/>
      <c r="X26" s="23"/>
      <c r="Y26" s="23"/>
      <c r="Z26" s="23"/>
      <c r="AA26" s="23"/>
      <c r="AB26" s="23"/>
      <c r="AC26" s="23"/>
      <c r="AD26" s="23"/>
      <c r="AE26" s="23"/>
      <c r="AF26" s="23"/>
      <c r="AG26" s="23"/>
    </row>
    <row r="27" spans="1:33" x14ac:dyDescent="0.25">
      <c r="A27" s="32">
        <v>24</v>
      </c>
      <c r="B27" s="39"/>
      <c r="C27" s="39"/>
      <c r="D27" s="39"/>
      <c r="E27" s="39"/>
      <c r="F27" s="39"/>
      <c r="G27" s="39"/>
      <c r="H27" s="39"/>
      <c r="I27" s="40"/>
      <c r="J27" s="39"/>
      <c r="K27" s="23"/>
      <c r="L27" s="23"/>
      <c r="M27" s="23"/>
      <c r="N27" s="23"/>
      <c r="O27" s="23"/>
      <c r="P27" s="23"/>
      <c r="Q27" s="23"/>
      <c r="R27" s="23"/>
      <c r="S27" s="23"/>
      <c r="T27" s="23"/>
      <c r="U27" s="23"/>
      <c r="V27" s="23"/>
      <c r="W27" s="23"/>
      <c r="X27" s="23"/>
      <c r="Y27" s="23"/>
      <c r="Z27" s="23"/>
      <c r="AA27" s="23"/>
      <c r="AB27" s="23"/>
      <c r="AC27" s="23"/>
      <c r="AD27" s="23"/>
      <c r="AE27" s="23"/>
      <c r="AF27" s="23"/>
      <c r="AG27" s="23"/>
    </row>
    <row r="28" spans="1:33" x14ac:dyDescent="0.25">
      <c r="A28" s="32">
        <v>25</v>
      </c>
      <c r="B28" s="39"/>
      <c r="C28" s="39"/>
      <c r="D28" s="39"/>
      <c r="E28" s="39"/>
      <c r="F28" s="39"/>
      <c r="G28" s="39"/>
      <c r="H28" s="39"/>
      <c r="I28" s="40"/>
      <c r="J28" s="39"/>
      <c r="K28" s="23"/>
      <c r="L28" s="23"/>
      <c r="M28" s="23"/>
      <c r="N28" s="23"/>
      <c r="O28" s="23"/>
      <c r="P28" s="23"/>
      <c r="Q28" s="23"/>
      <c r="R28" s="23"/>
      <c r="S28" s="23"/>
      <c r="T28" s="23"/>
      <c r="U28" s="23"/>
      <c r="V28" s="23"/>
      <c r="W28" s="23"/>
      <c r="X28" s="23"/>
      <c r="Y28" s="23"/>
      <c r="Z28" s="23"/>
      <c r="AA28" s="23"/>
      <c r="AB28" s="23"/>
      <c r="AC28" s="23"/>
      <c r="AD28" s="23"/>
      <c r="AE28" s="23"/>
      <c r="AF28" s="23"/>
      <c r="AG28" s="23"/>
    </row>
  </sheetData>
  <mergeCells count="2">
    <mergeCell ref="L4:AE4"/>
    <mergeCell ref="L16:AE16"/>
  </mergeCells>
  <pageMargins left="0.7" right="0.7" top="0.75" bottom="0.75" header="0.3" footer="0.3"/>
  <drawing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4"/>
  <dimension ref="A1:AG28"/>
  <sheetViews>
    <sheetView showGridLines="0" workbookViewId="0">
      <selection activeCell="W1" sqref="W1"/>
    </sheetView>
  </sheetViews>
  <sheetFormatPr defaultRowHeight="15.75" x14ac:dyDescent="0.25"/>
  <cols>
    <col min="1" max="1" width="7.875" bestFit="1" customWidth="1"/>
    <col min="2" max="3" width="10" bestFit="1" customWidth="1"/>
    <col min="4" max="4" width="19" bestFit="1" customWidth="1"/>
    <col min="5" max="5" width="8.375" bestFit="1" customWidth="1"/>
    <col min="6" max="6" width="5.375" bestFit="1" customWidth="1"/>
    <col min="7" max="7" width="5.875" bestFit="1" customWidth="1"/>
    <col min="8" max="8" width="11.875" bestFit="1" customWidth="1"/>
    <col min="9" max="9" width="11.875" customWidth="1"/>
    <col min="10" max="10" width="12.125" bestFit="1" customWidth="1"/>
    <col min="11" max="11" width="3.75" customWidth="1"/>
    <col min="12" max="31" width="3.625" customWidth="1"/>
    <col min="32" max="32" width="3" customWidth="1"/>
  </cols>
  <sheetData>
    <row r="1" spans="1:33" x14ac:dyDescent="0.25">
      <c r="A1" s="16"/>
      <c r="B1" s="16"/>
      <c r="C1" s="16"/>
      <c r="D1" s="16"/>
      <c r="E1" s="16"/>
      <c r="F1" s="16"/>
      <c r="G1" s="16"/>
      <c r="H1" s="16"/>
      <c r="I1" s="16"/>
      <c r="J1" s="16"/>
      <c r="K1" s="16"/>
      <c r="L1" s="16"/>
      <c r="M1" s="16"/>
      <c r="N1" s="16"/>
      <c r="O1" s="271" t="s">
        <v>377</v>
      </c>
      <c r="P1" s="82">
        <f>Q1</f>
        <v>8</v>
      </c>
      <c r="Q1" s="82">
        <f>MAX(A4:A104)</f>
        <v>8</v>
      </c>
      <c r="R1" s="13" t="s">
        <v>378</v>
      </c>
      <c r="S1" s="17"/>
      <c r="T1" s="17"/>
      <c r="U1" s="17"/>
      <c r="V1" s="17"/>
      <c r="W1" s="17"/>
      <c r="X1" s="17"/>
      <c r="Y1" s="17"/>
      <c r="Z1" s="17"/>
      <c r="AA1" s="17"/>
      <c r="AB1" s="17"/>
      <c r="AC1" s="18"/>
      <c r="AD1" s="18"/>
      <c r="AE1" s="18"/>
      <c r="AF1" s="18"/>
      <c r="AG1" s="18"/>
    </row>
    <row r="2" spans="1:33" ht="16.5" thickBot="1" x14ac:dyDescent="0.3">
      <c r="A2" s="73"/>
      <c r="B2" s="20"/>
      <c r="C2" s="20"/>
      <c r="D2" s="20"/>
      <c r="E2" s="20"/>
      <c r="F2" s="22"/>
      <c r="G2" s="20"/>
      <c r="H2" s="20"/>
      <c r="I2" s="22"/>
      <c r="J2" s="20"/>
      <c r="K2" s="23"/>
      <c r="L2" s="23"/>
      <c r="M2" s="23"/>
      <c r="N2" s="23"/>
      <c r="O2" s="23"/>
      <c r="P2" s="23"/>
      <c r="Q2" s="23"/>
      <c r="R2" s="23"/>
      <c r="S2" s="23"/>
      <c r="T2" s="23"/>
      <c r="U2" s="23"/>
      <c r="V2" s="23"/>
      <c r="W2" s="23"/>
      <c r="X2" s="23"/>
      <c r="Y2" s="23"/>
      <c r="Z2" s="23"/>
      <c r="AA2" s="23"/>
      <c r="AB2" s="23"/>
      <c r="AC2" s="23"/>
      <c r="AD2" s="23"/>
      <c r="AE2" s="23"/>
      <c r="AF2" s="23"/>
      <c r="AG2" s="23"/>
    </row>
    <row r="3" spans="1:33" x14ac:dyDescent="0.25">
      <c r="A3" s="68" t="s">
        <v>38</v>
      </c>
      <c r="B3" s="69" t="s">
        <v>39</v>
      </c>
      <c r="C3" s="69" t="s">
        <v>40</v>
      </c>
      <c r="D3" s="69" t="s">
        <v>41</v>
      </c>
      <c r="E3" s="68" t="s">
        <v>42</v>
      </c>
      <c r="F3" s="68" t="s">
        <v>43</v>
      </c>
      <c r="G3" s="68" t="s">
        <v>44</v>
      </c>
      <c r="H3" s="68" t="s">
        <v>45</v>
      </c>
      <c r="I3" s="68" t="s">
        <v>46</v>
      </c>
      <c r="J3" s="68" t="s">
        <v>47</v>
      </c>
      <c r="K3" s="23"/>
      <c r="L3" s="29"/>
      <c r="M3" s="30"/>
      <c r="N3" s="30"/>
      <c r="O3" s="30"/>
      <c r="P3" s="30"/>
      <c r="Q3" s="30"/>
      <c r="R3" s="30"/>
      <c r="S3" s="30"/>
      <c r="T3" s="30"/>
      <c r="U3" s="30"/>
      <c r="V3" s="30"/>
      <c r="W3" s="30"/>
      <c r="X3" s="30"/>
      <c r="Y3" s="30"/>
      <c r="Z3" s="30"/>
      <c r="AA3" s="30"/>
      <c r="AB3" s="30"/>
      <c r="AC3" s="30"/>
      <c r="AD3" s="30"/>
      <c r="AE3" s="31"/>
      <c r="AF3" s="23"/>
      <c r="AG3" s="23"/>
    </row>
    <row r="4" spans="1:33" x14ac:dyDescent="0.25">
      <c r="A4" s="32">
        <v>1</v>
      </c>
      <c r="B4" s="33" t="s">
        <v>48</v>
      </c>
      <c r="C4" s="34" t="s">
        <v>49</v>
      </c>
      <c r="D4" s="34" t="s">
        <v>50</v>
      </c>
      <c r="E4" s="34" t="s">
        <v>51</v>
      </c>
      <c r="F4" s="35" t="s">
        <v>52</v>
      </c>
      <c r="G4" s="35">
        <v>30062</v>
      </c>
      <c r="H4" s="33" t="s">
        <v>53</v>
      </c>
      <c r="I4" s="37" t="s">
        <v>54</v>
      </c>
      <c r="J4" s="272">
        <v>157665</v>
      </c>
      <c r="K4" s="23"/>
      <c r="L4" s="300" t="s">
        <v>55</v>
      </c>
      <c r="M4" s="301"/>
      <c r="N4" s="301"/>
      <c r="O4" s="301"/>
      <c r="P4" s="301"/>
      <c r="Q4" s="301"/>
      <c r="R4" s="301"/>
      <c r="S4" s="301"/>
      <c r="T4" s="301"/>
      <c r="U4" s="301"/>
      <c r="V4" s="301"/>
      <c r="W4" s="301"/>
      <c r="X4" s="301"/>
      <c r="Y4" s="301"/>
      <c r="Z4" s="301"/>
      <c r="AA4" s="301"/>
      <c r="AB4" s="301"/>
      <c r="AC4" s="301"/>
      <c r="AD4" s="301"/>
      <c r="AE4" s="302"/>
      <c r="AF4" s="23"/>
      <c r="AG4" s="23"/>
    </row>
    <row r="5" spans="1:33" x14ac:dyDescent="0.25">
      <c r="A5" s="32">
        <f>IF(B5="","",1+A4)</f>
        <v>2</v>
      </c>
      <c r="B5" s="39" t="s">
        <v>56</v>
      </c>
      <c r="C5" s="39" t="s">
        <v>57</v>
      </c>
      <c r="D5" s="39" t="s">
        <v>58</v>
      </c>
      <c r="E5" s="39" t="s">
        <v>51</v>
      </c>
      <c r="F5" s="40" t="s">
        <v>52</v>
      </c>
      <c r="G5" s="40">
        <v>30063</v>
      </c>
      <c r="H5" s="42" t="s">
        <v>59</v>
      </c>
      <c r="I5" s="43" t="s">
        <v>60</v>
      </c>
      <c r="J5" s="273">
        <v>156340</v>
      </c>
      <c r="K5" s="23"/>
      <c r="L5" s="45"/>
      <c r="M5" s="46"/>
      <c r="N5" s="46"/>
      <c r="O5" s="46"/>
      <c r="P5" s="46"/>
      <c r="Q5" s="46"/>
      <c r="R5" s="46"/>
      <c r="S5" s="46"/>
      <c r="T5" s="46"/>
      <c r="U5" s="46"/>
      <c r="V5" s="46"/>
      <c r="W5" s="46"/>
      <c r="X5" s="46"/>
      <c r="Y5" s="46"/>
      <c r="Z5" s="46"/>
      <c r="AA5" s="46"/>
      <c r="AB5" s="46"/>
      <c r="AC5" s="46"/>
      <c r="AD5" s="46"/>
      <c r="AE5" s="47"/>
      <c r="AF5" s="23"/>
      <c r="AG5" s="23"/>
    </row>
    <row r="6" spans="1:33" x14ac:dyDescent="0.25">
      <c r="A6" s="32">
        <f t="shared" ref="A6:A28" si="0">IF(B6="","",1+A5)</f>
        <v>3</v>
      </c>
      <c r="B6" s="39" t="s">
        <v>61</v>
      </c>
      <c r="C6" s="42" t="s">
        <v>62</v>
      </c>
      <c r="D6" s="39" t="s">
        <v>63</v>
      </c>
      <c r="E6" s="39" t="s">
        <v>51</v>
      </c>
      <c r="F6" s="40" t="s">
        <v>52</v>
      </c>
      <c r="G6" s="40">
        <v>30064</v>
      </c>
      <c r="H6" s="42" t="s">
        <v>64</v>
      </c>
      <c r="I6" s="43" t="s">
        <v>65</v>
      </c>
      <c r="J6" s="273">
        <v>81480</v>
      </c>
      <c r="K6" s="23"/>
      <c r="L6" s="45"/>
      <c r="M6" s="48" t="s">
        <v>39</v>
      </c>
      <c r="N6" s="46"/>
      <c r="O6" s="46"/>
      <c r="P6" s="405" t="str">
        <f>VLOOKUP($P$1,$A$4:$J$104,2,FALSE)</f>
        <v>Doe</v>
      </c>
      <c r="Q6" s="310"/>
      <c r="R6" s="310"/>
      <c r="S6" s="310"/>
      <c r="T6" s="310"/>
      <c r="U6" s="406"/>
      <c r="V6" s="46"/>
      <c r="W6" s="52" t="s">
        <v>42</v>
      </c>
      <c r="X6" s="46"/>
      <c r="Y6" s="405" t="str">
        <f>VLOOKUP($P$1,$A$4:$J$104,5,FALSE)</f>
        <v>Gainesville</v>
      </c>
      <c r="Z6" s="310"/>
      <c r="AA6" s="310"/>
      <c r="AB6" s="310"/>
      <c r="AC6" s="310"/>
      <c r="AD6" s="406"/>
      <c r="AE6" s="47"/>
      <c r="AF6" s="23"/>
      <c r="AG6" s="23"/>
    </row>
    <row r="7" spans="1:33" x14ac:dyDescent="0.25">
      <c r="A7" s="32">
        <f t="shared" si="0"/>
        <v>4</v>
      </c>
      <c r="B7" s="39" t="s">
        <v>66</v>
      </c>
      <c r="C7" s="42" t="s">
        <v>67</v>
      </c>
      <c r="D7" s="39" t="s">
        <v>68</v>
      </c>
      <c r="E7" s="39" t="s">
        <v>51</v>
      </c>
      <c r="F7" s="40" t="s">
        <v>52</v>
      </c>
      <c r="G7" s="40">
        <v>30065</v>
      </c>
      <c r="H7" s="42" t="s">
        <v>69</v>
      </c>
      <c r="I7" s="43" t="s">
        <v>54</v>
      </c>
      <c r="J7" s="273">
        <v>202578</v>
      </c>
      <c r="K7" s="23"/>
      <c r="L7" s="45"/>
      <c r="M7" s="46"/>
      <c r="N7" s="46"/>
      <c r="O7" s="46"/>
      <c r="P7" s="46"/>
      <c r="Q7" s="46"/>
      <c r="R7" s="46"/>
      <c r="S7" s="46"/>
      <c r="T7" s="46"/>
      <c r="U7" s="46"/>
      <c r="V7" s="46"/>
      <c r="W7" s="46"/>
      <c r="X7" s="46"/>
      <c r="Y7" s="46"/>
      <c r="Z7" s="46"/>
      <c r="AA7" s="46"/>
      <c r="AB7" s="46"/>
      <c r="AC7" s="46"/>
      <c r="AD7" s="46"/>
      <c r="AE7" s="47"/>
      <c r="AF7" s="23"/>
      <c r="AG7" s="23"/>
    </row>
    <row r="8" spans="1:33" x14ac:dyDescent="0.25">
      <c r="A8" s="32">
        <f t="shared" si="0"/>
        <v>5</v>
      </c>
      <c r="B8" s="42" t="s">
        <v>70</v>
      </c>
      <c r="C8" s="39" t="s">
        <v>71</v>
      </c>
      <c r="D8" s="39" t="s">
        <v>72</v>
      </c>
      <c r="E8" s="39" t="s">
        <v>51</v>
      </c>
      <c r="F8" s="40" t="s">
        <v>52</v>
      </c>
      <c r="G8" s="40">
        <v>30066</v>
      </c>
      <c r="H8" s="42" t="s">
        <v>73</v>
      </c>
      <c r="I8" s="43" t="s">
        <v>60</v>
      </c>
      <c r="J8" s="273">
        <v>177209</v>
      </c>
      <c r="K8" s="23"/>
      <c r="L8" s="45"/>
      <c r="M8" s="48" t="s">
        <v>40</v>
      </c>
      <c r="N8" s="46"/>
      <c r="O8" s="46"/>
      <c r="P8" s="405" t="str">
        <f>VLOOKUP($P$1,$A$4:$J$104,3,FALSE)</f>
        <v>John</v>
      </c>
      <c r="Q8" s="310"/>
      <c r="R8" s="310"/>
      <c r="S8" s="310"/>
      <c r="T8" s="310"/>
      <c r="U8" s="406"/>
      <c r="V8" s="46"/>
      <c r="W8" s="52" t="s">
        <v>43</v>
      </c>
      <c r="X8" s="46"/>
      <c r="Y8" s="405" t="str">
        <f>VLOOKUP($P$1,$A$4:$J$104,6,FALSE)</f>
        <v>FL</v>
      </c>
      <c r="Z8" s="310"/>
      <c r="AA8" s="310"/>
      <c r="AB8" s="310"/>
      <c r="AC8" s="310"/>
      <c r="AD8" s="406"/>
      <c r="AE8" s="47"/>
      <c r="AF8" s="23"/>
      <c r="AG8" s="23"/>
    </row>
    <row r="9" spans="1:33" x14ac:dyDescent="0.25">
      <c r="A9" s="32">
        <f t="shared" si="0"/>
        <v>6</v>
      </c>
      <c r="B9" s="39" t="s">
        <v>74</v>
      </c>
      <c r="C9" s="39" t="s">
        <v>75</v>
      </c>
      <c r="D9" s="39" t="s">
        <v>76</v>
      </c>
      <c r="E9" s="39" t="s">
        <v>77</v>
      </c>
      <c r="F9" s="40" t="s">
        <v>52</v>
      </c>
      <c r="G9" s="40">
        <v>30092</v>
      </c>
      <c r="H9" s="42" t="s">
        <v>78</v>
      </c>
      <c r="I9" s="43" t="s">
        <v>65</v>
      </c>
      <c r="J9" s="273">
        <v>212254.23</v>
      </c>
      <c r="K9" s="23"/>
      <c r="L9" s="45"/>
      <c r="M9" s="46"/>
      <c r="N9" s="46"/>
      <c r="O9" s="46"/>
      <c r="P9" s="46"/>
      <c r="Q9" s="46"/>
      <c r="R9" s="46"/>
      <c r="S9" s="46"/>
      <c r="T9" s="46"/>
      <c r="U9" s="46"/>
      <c r="V9" s="46"/>
      <c r="W9" s="46"/>
      <c r="X9" s="46"/>
      <c r="Y9" s="46"/>
      <c r="Z9" s="46"/>
      <c r="AA9" s="46"/>
      <c r="AB9" s="46"/>
      <c r="AC9" s="46"/>
      <c r="AD9" s="46"/>
      <c r="AE9" s="47"/>
      <c r="AF9" s="23"/>
      <c r="AG9" s="23"/>
    </row>
    <row r="10" spans="1:33" x14ac:dyDescent="0.25">
      <c r="A10" s="32">
        <f t="shared" si="0"/>
        <v>7</v>
      </c>
      <c r="B10" s="39" t="s">
        <v>79</v>
      </c>
      <c r="C10" s="39" t="s">
        <v>80</v>
      </c>
      <c r="D10" s="39" t="s">
        <v>50</v>
      </c>
      <c r="E10" s="39" t="s">
        <v>81</v>
      </c>
      <c r="F10" s="40" t="s">
        <v>82</v>
      </c>
      <c r="G10" s="40">
        <v>30092</v>
      </c>
      <c r="H10" s="42" t="s">
        <v>53</v>
      </c>
      <c r="I10" s="43" t="s">
        <v>54</v>
      </c>
      <c r="J10" s="273">
        <v>124533.45</v>
      </c>
      <c r="K10" s="23"/>
      <c r="L10" s="45"/>
      <c r="M10" s="48" t="s">
        <v>41</v>
      </c>
      <c r="N10" s="46"/>
      <c r="O10" s="46"/>
      <c r="P10" s="405" t="str">
        <f>VLOOKUP($P$1,$A$4:$J$104,4,FALSE)</f>
        <v>100 Happy Lane</v>
      </c>
      <c r="Q10" s="310"/>
      <c r="R10" s="310"/>
      <c r="S10" s="310"/>
      <c r="T10" s="310"/>
      <c r="U10" s="406"/>
      <c r="V10" s="46"/>
      <c r="W10" s="52" t="s">
        <v>44</v>
      </c>
      <c r="X10" s="46"/>
      <c r="Y10" s="306">
        <f>VLOOKUP($P$1,$A$4:$J$104,7,FALSE)</f>
        <v>32667</v>
      </c>
      <c r="Z10" s="307"/>
      <c r="AA10" s="307"/>
      <c r="AB10" s="307"/>
      <c r="AC10" s="307"/>
      <c r="AD10" s="409"/>
      <c r="AE10" s="47"/>
      <c r="AF10" s="23"/>
      <c r="AG10" s="23"/>
    </row>
    <row r="11" spans="1:33" x14ac:dyDescent="0.25">
      <c r="A11" s="32">
        <f t="shared" si="0"/>
        <v>8</v>
      </c>
      <c r="B11" s="39" t="s">
        <v>379</v>
      </c>
      <c r="C11" s="39" t="s">
        <v>163</v>
      </c>
      <c r="D11" s="39" t="s">
        <v>380</v>
      </c>
      <c r="E11" s="39" t="s">
        <v>381</v>
      </c>
      <c r="F11" s="40" t="s">
        <v>382</v>
      </c>
      <c r="G11" s="39">
        <v>32667</v>
      </c>
      <c r="H11" s="39" t="s">
        <v>383</v>
      </c>
      <c r="I11" s="40" t="s">
        <v>54</v>
      </c>
      <c r="J11" s="274">
        <v>50000</v>
      </c>
      <c r="K11" s="23"/>
      <c r="L11" s="45"/>
      <c r="M11" s="46"/>
      <c r="N11" s="46"/>
      <c r="O11" s="46"/>
      <c r="P11" s="46"/>
      <c r="Q11" s="46"/>
      <c r="R11" s="46"/>
      <c r="S11" s="46"/>
      <c r="T11" s="46"/>
      <c r="U11" s="46"/>
      <c r="V11" s="46"/>
      <c r="W11" s="46"/>
      <c r="X11" s="46"/>
      <c r="Y11" s="46"/>
      <c r="Z11" s="46"/>
      <c r="AA11" s="46"/>
      <c r="AB11" s="46"/>
      <c r="AC11" s="46"/>
      <c r="AD11" s="46"/>
      <c r="AE11" s="47"/>
      <c r="AF11" s="23"/>
      <c r="AG11" s="23"/>
    </row>
    <row r="12" spans="1:33" x14ac:dyDescent="0.25">
      <c r="A12" s="32" t="str">
        <f t="shared" si="0"/>
        <v/>
      </c>
      <c r="B12" s="39"/>
      <c r="C12" s="39"/>
      <c r="D12" s="39"/>
      <c r="E12" s="39"/>
      <c r="F12" s="40"/>
      <c r="G12" s="39"/>
      <c r="H12" s="39"/>
      <c r="I12" s="40"/>
      <c r="J12" s="274"/>
      <c r="K12" s="23"/>
      <c r="L12" s="45"/>
      <c r="M12" s="52" t="s">
        <v>45</v>
      </c>
      <c r="N12" s="46"/>
      <c r="O12" s="46"/>
      <c r="P12" s="405" t="str">
        <f>VLOOKUP($P$1,$A$4:$J$104,8,FALSE)</f>
        <v>352.456.7777</v>
      </c>
      <c r="Q12" s="310"/>
      <c r="R12" s="310"/>
      <c r="S12" s="310"/>
      <c r="T12" s="310"/>
      <c r="U12" s="406"/>
      <c r="V12" s="46"/>
      <c r="W12" s="60" t="s">
        <v>99</v>
      </c>
      <c r="X12" s="46"/>
      <c r="Y12" s="405" t="str">
        <f>VLOOKUP($P$1,$A$4:$J$104,9,FALSE)</f>
        <v>Plan A</v>
      </c>
      <c r="Z12" s="310"/>
      <c r="AA12" s="310"/>
      <c r="AB12" s="310"/>
      <c r="AC12" s="310"/>
      <c r="AD12" s="406"/>
      <c r="AE12" s="47"/>
      <c r="AF12" s="23"/>
      <c r="AG12" s="23"/>
    </row>
    <row r="13" spans="1:33" x14ac:dyDescent="0.25">
      <c r="A13" s="32" t="str">
        <f t="shared" si="0"/>
        <v/>
      </c>
      <c r="B13" s="39"/>
      <c r="C13" s="39"/>
      <c r="D13" s="39"/>
      <c r="E13" s="39"/>
      <c r="F13" s="40"/>
      <c r="G13" s="39"/>
      <c r="H13" s="39"/>
      <c r="I13" s="40"/>
      <c r="J13" s="274"/>
      <c r="K13" s="23"/>
      <c r="L13" s="45"/>
      <c r="M13" s="46"/>
      <c r="N13" s="46"/>
      <c r="O13" s="46"/>
      <c r="P13" s="46"/>
      <c r="Q13" s="46"/>
      <c r="R13" s="46"/>
      <c r="S13" s="46"/>
      <c r="T13" s="46"/>
      <c r="U13" s="46"/>
      <c r="V13" s="46"/>
      <c r="W13" s="46"/>
      <c r="X13" s="46"/>
      <c r="Y13" s="46"/>
      <c r="Z13" s="46"/>
      <c r="AA13" s="46"/>
      <c r="AB13" s="46"/>
      <c r="AC13" s="46"/>
      <c r="AD13" s="46"/>
      <c r="AE13" s="47"/>
      <c r="AF13" s="23"/>
      <c r="AG13" s="23"/>
    </row>
    <row r="14" spans="1:33" x14ac:dyDescent="0.25">
      <c r="A14" s="32" t="str">
        <f t="shared" si="0"/>
        <v/>
      </c>
      <c r="B14" s="39"/>
      <c r="C14" s="39"/>
      <c r="D14" s="39"/>
      <c r="E14" s="39"/>
      <c r="F14" s="40"/>
      <c r="G14" s="39"/>
      <c r="H14" s="39"/>
      <c r="I14" s="40"/>
      <c r="J14" s="274"/>
      <c r="K14" s="23"/>
      <c r="L14" s="45"/>
      <c r="M14" s="52" t="s">
        <v>90</v>
      </c>
      <c r="N14" s="46"/>
      <c r="O14" s="46"/>
      <c r="P14" s="46"/>
      <c r="Q14" s="46"/>
      <c r="R14" s="46"/>
      <c r="S14" s="46"/>
      <c r="T14" s="46"/>
      <c r="U14" s="46"/>
      <c r="V14" s="46"/>
      <c r="W14" s="46"/>
      <c r="X14" s="46"/>
      <c r="Y14" s="347">
        <f>VLOOKUP($P$1,$A$4:$J$104,10,FALSE)</f>
        <v>50000</v>
      </c>
      <c r="Z14" s="407"/>
      <c r="AA14" s="407"/>
      <c r="AB14" s="407"/>
      <c r="AC14" s="407"/>
      <c r="AD14" s="408"/>
      <c r="AE14" s="47"/>
      <c r="AF14" s="23"/>
      <c r="AG14" s="23"/>
    </row>
    <row r="15" spans="1:33" x14ac:dyDescent="0.25">
      <c r="A15" s="32" t="str">
        <f t="shared" si="0"/>
        <v/>
      </c>
      <c r="B15" s="39"/>
      <c r="C15" s="39"/>
      <c r="D15" s="39"/>
      <c r="E15" s="39"/>
      <c r="F15" s="40"/>
      <c r="G15" s="39"/>
      <c r="H15" s="39"/>
      <c r="I15" s="40"/>
      <c r="J15" s="274"/>
      <c r="K15" s="23"/>
      <c r="L15" s="45"/>
      <c r="M15" s="46"/>
      <c r="N15" s="46"/>
      <c r="O15" s="46"/>
      <c r="P15" s="46"/>
      <c r="Q15" s="46"/>
      <c r="R15" s="46"/>
      <c r="S15" s="46"/>
      <c r="T15" s="46"/>
      <c r="U15" s="46"/>
      <c r="V15" s="46"/>
      <c r="W15" s="46"/>
      <c r="X15" s="46"/>
      <c r="Y15" s="46"/>
      <c r="Z15" s="46"/>
      <c r="AA15" s="46"/>
      <c r="AB15" s="46"/>
      <c r="AC15" s="46"/>
      <c r="AD15" s="46"/>
      <c r="AE15" s="47"/>
      <c r="AF15" s="23"/>
      <c r="AG15" s="23"/>
    </row>
    <row r="16" spans="1:33" x14ac:dyDescent="0.25">
      <c r="A16" s="32" t="str">
        <f t="shared" si="0"/>
        <v/>
      </c>
      <c r="B16" s="39"/>
      <c r="C16" s="39"/>
      <c r="D16" s="39"/>
      <c r="E16" s="39"/>
      <c r="F16" s="40"/>
      <c r="G16" s="39"/>
      <c r="H16" s="39"/>
      <c r="I16" s="40"/>
      <c r="J16" s="274"/>
      <c r="K16" s="23"/>
      <c r="L16" s="303" t="s">
        <v>91</v>
      </c>
      <c r="M16" s="304"/>
      <c r="N16" s="304"/>
      <c r="O16" s="304"/>
      <c r="P16" s="304"/>
      <c r="Q16" s="304"/>
      <c r="R16" s="304"/>
      <c r="S16" s="304"/>
      <c r="T16" s="304"/>
      <c r="U16" s="304"/>
      <c r="V16" s="304"/>
      <c r="W16" s="304"/>
      <c r="X16" s="304"/>
      <c r="Y16" s="304"/>
      <c r="Z16" s="304"/>
      <c r="AA16" s="304"/>
      <c r="AB16" s="304"/>
      <c r="AC16" s="304"/>
      <c r="AD16" s="304"/>
      <c r="AE16" s="305"/>
      <c r="AF16" s="23"/>
      <c r="AG16" s="23"/>
    </row>
    <row r="17" spans="1:33" ht="16.5" thickBot="1" x14ac:dyDescent="0.3">
      <c r="A17" s="32" t="str">
        <f t="shared" si="0"/>
        <v/>
      </c>
      <c r="B17" s="39"/>
      <c r="C17" s="39"/>
      <c r="D17" s="39"/>
      <c r="E17" s="39"/>
      <c r="F17" s="40"/>
      <c r="G17" s="39"/>
      <c r="H17" s="39"/>
      <c r="I17" s="40"/>
      <c r="J17" s="274"/>
      <c r="K17" s="23"/>
      <c r="L17" s="61"/>
      <c r="M17" s="62"/>
      <c r="N17" s="62"/>
      <c r="O17" s="62"/>
      <c r="P17" s="62"/>
      <c r="Q17" s="62"/>
      <c r="R17" s="62"/>
      <c r="S17" s="62"/>
      <c r="T17" s="62"/>
      <c r="U17" s="62"/>
      <c r="V17" s="62"/>
      <c r="W17" s="62"/>
      <c r="X17" s="62"/>
      <c r="Y17" s="62"/>
      <c r="Z17" s="62"/>
      <c r="AA17" s="62"/>
      <c r="AB17" s="62"/>
      <c r="AC17" s="62"/>
      <c r="AD17" s="62"/>
      <c r="AE17" s="63"/>
      <c r="AF17" s="23"/>
      <c r="AG17" s="23"/>
    </row>
    <row r="18" spans="1:33" x14ac:dyDescent="0.25">
      <c r="A18" s="32" t="str">
        <f t="shared" si="0"/>
        <v/>
      </c>
      <c r="B18" s="39"/>
      <c r="C18" s="39"/>
      <c r="D18" s="39"/>
      <c r="E18" s="39"/>
      <c r="F18" s="40"/>
      <c r="G18" s="39"/>
      <c r="H18" s="39"/>
      <c r="I18" s="40"/>
      <c r="J18" s="274"/>
      <c r="K18" s="23"/>
      <c r="L18" s="23"/>
      <c r="M18" s="23"/>
      <c r="N18" s="23"/>
      <c r="O18" s="23"/>
      <c r="P18" s="23"/>
      <c r="Q18" s="23"/>
      <c r="R18" s="23"/>
      <c r="S18" s="23"/>
      <c r="T18" s="23"/>
      <c r="U18" s="23"/>
      <c r="V18" s="23"/>
      <c r="W18" s="23"/>
      <c r="X18" s="23"/>
      <c r="Y18" s="23"/>
      <c r="Z18" s="23"/>
      <c r="AA18" s="23"/>
      <c r="AB18" s="23"/>
      <c r="AC18" s="23"/>
      <c r="AD18" s="23"/>
      <c r="AE18" s="23"/>
      <c r="AF18" s="23"/>
      <c r="AG18" s="23"/>
    </row>
    <row r="19" spans="1:33" x14ac:dyDescent="0.25">
      <c r="A19" s="32" t="str">
        <f t="shared" si="0"/>
        <v/>
      </c>
      <c r="B19" s="39"/>
      <c r="C19" s="39"/>
      <c r="D19" s="39"/>
      <c r="E19" s="39"/>
      <c r="F19" s="40"/>
      <c r="G19" s="39"/>
      <c r="H19" s="39"/>
      <c r="I19" s="40"/>
      <c r="J19" s="274"/>
      <c r="K19" s="23"/>
      <c r="L19" s="23"/>
      <c r="M19" s="23"/>
      <c r="N19" s="23"/>
      <c r="O19" s="23"/>
      <c r="P19" s="23"/>
      <c r="Q19" s="23"/>
      <c r="R19" s="23"/>
      <c r="S19" s="23"/>
      <c r="T19" s="23"/>
      <c r="U19" s="23"/>
      <c r="V19" s="23"/>
      <c r="W19" s="23"/>
      <c r="X19" s="23"/>
      <c r="Y19" s="23"/>
      <c r="Z19" s="23"/>
      <c r="AA19" s="23"/>
      <c r="AB19" s="23"/>
      <c r="AC19" s="23"/>
      <c r="AD19" s="23"/>
      <c r="AE19" s="23"/>
      <c r="AF19" s="23"/>
      <c r="AG19" s="23"/>
    </row>
    <row r="20" spans="1:33" x14ac:dyDescent="0.25">
      <c r="A20" s="32" t="str">
        <f t="shared" si="0"/>
        <v/>
      </c>
      <c r="B20" s="39"/>
      <c r="C20" s="39"/>
      <c r="D20" s="39"/>
      <c r="E20" s="39"/>
      <c r="F20" s="40"/>
      <c r="G20" s="39"/>
      <c r="H20" s="39"/>
      <c r="I20" s="40"/>
      <c r="J20" s="274"/>
      <c r="K20" s="23"/>
      <c r="L20" s="23"/>
      <c r="M20" s="23"/>
      <c r="N20" s="23"/>
      <c r="O20" s="23"/>
      <c r="P20" s="23"/>
      <c r="Q20" s="23"/>
      <c r="R20" s="23"/>
      <c r="S20" s="23"/>
      <c r="T20" s="23"/>
      <c r="U20" s="23"/>
      <c r="V20" s="23"/>
      <c r="W20" s="23"/>
      <c r="X20" s="23"/>
      <c r="Y20" s="23"/>
      <c r="Z20" s="23"/>
      <c r="AA20" s="23"/>
      <c r="AB20" s="23"/>
      <c r="AC20" s="23"/>
      <c r="AD20" s="23"/>
      <c r="AE20" s="23"/>
      <c r="AF20" s="23"/>
      <c r="AG20" s="23"/>
    </row>
    <row r="21" spans="1:33" x14ac:dyDescent="0.25">
      <c r="A21" s="32" t="str">
        <f t="shared" si="0"/>
        <v/>
      </c>
      <c r="B21" s="39"/>
      <c r="C21" s="39"/>
      <c r="D21" s="39"/>
      <c r="E21" s="39"/>
      <c r="F21" s="40"/>
      <c r="G21" s="39"/>
      <c r="H21" s="39"/>
      <c r="I21" s="40"/>
      <c r="J21" s="274"/>
      <c r="K21" s="23"/>
      <c r="L21" s="23"/>
      <c r="M21" s="23"/>
      <c r="N21" s="23"/>
      <c r="O21" s="23"/>
      <c r="P21" s="23"/>
      <c r="Q21" s="23"/>
      <c r="R21" s="23"/>
      <c r="S21" s="23"/>
      <c r="T21" s="23"/>
      <c r="U21" s="23"/>
      <c r="V21" s="23"/>
      <c r="W21" s="23"/>
      <c r="X21" s="23"/>
      <c r="Y21" s="23"/>
      <c r="Z21" s="23"/>
      <c r="AA21" s="23"/>
      <c r="AB21" s="23"/>
      <c r="AC21" s="23"/>
      <c r="AD21" s="23"/>
      <c r="AE21" s="23"/>
      <c r="AF21" s="23"/>
      <c r="AG21" s="23"/>
    </row>
    <row r="22" spans="1:33" x14ac:dyDescent="0.25">
      <c r="A22" s="32" t="str">
        <f t="shared" si="0"/>
        <v/>
      </c>
      <c r="B22" s="39"/>
      <c r="C22" s="39"/>
      <c r="D22" s="39"/>
      <c r="E22" s="39"/>
      <c r="F22" s="40"/>
      <c r="G22" s="39"/>
      <c r="H22" s="39"/>
      <c r="I22" s="40"/>
      <c r="J22" s="274"/>
      <c r="K22" s="23"/>
      <c r="L22" s="23"/>
      <c r="M22" s="23"/>
      <c r="N22" s="23"/>
      <c r="O22" s="23"/>
      <c r="P22" s="23"/>
      <c r="Q22" s="23"/>
      <c r="R22" s="23"/>
      <c r="S22" s="23"/>
      <c r="T22" s="23"/>
      <c r="U22" s="23"/>
      <c r="V22" s="23"/>
      <c r="W22" s="23"/>
      <c r="X22" s="23"/>
      <c r="Y22" s="23"/>
      <c r="Z22" s="23"/>
      <c r="AA22" s="23"/>
      <c r="AB22" s="23"/>
      <c r="AC22" s="23"/>
      <c r="AD22" s="23"/>
      <c r="AE22" s="23"/>
      <c r="AF22" s="23"/>
      <c r="AG22" s="23"/>
    </row>
    <row r="23" spans="1:33" x14ac:dyDescent="0.25">
      <c r="A23" s="32" t="str">
        <f t="shared" si="0"/>
        <v/>
      </c>
      <c r="B23" s="39"/>
      <c r="C23" s="39"/>
      <c r="D23" s="39"/>
      <c r="E23" s="39"/>
      <c r="F23" s="40"/>
      <c r="G23" s="39"/>
      <c r="H23" s="39"/>
      <c r="I23" s="40"/>
      <c r="J23" s="274"/>
      <c r="K23" s="23"/>
      <c r="L23" s="23"/>
      <c r="M23" s="23"/>
      <c r="N23" s="23"/>
      <c r="O23" s="23"/>
      <c r="P23" s="23"/>
      <c r="Q23" s="23"/>
      <c r="R23" s="23"/>
      <c r="S23" s="23"/>
      <c r="T23" s="23"/>
      <c r="U23" s="23"/>
      <c r="V23" s="23"/>
      <c r="W23" s="23"/>
      <c r="X23" s="23"/>
      <c r="Y23" s="23"/>
      <c r="Z23" s="23"/>
      <c r="AA23" s="23"/>
      <c r="AB23" s="23"/>
      <c r="AC23" s="23"/>
      <c r="AD23" s="23"/>
      <c r="AE23" s="23"/>
      <c r="AF23" s="23"/>
      <c r="AG23" s="23"/>
    </row>
    <row r="24" spans="1:33" x14ac:dyDescent="0.25">
      <c r="A24" s="32" t="str">
        <f t="shared" si="0"/>
        <v/>
      </c>
      <c r="B24" s="39"/>
      <c r="C24" s="39"/>
      <c r="D24" s="39"/>
      <c r="E24" s="39"/>
      <c r="F24" s="40"/>
      <c r="G24" s="39"/>
      <c r="H24" s="39"/>
      <c r="I24" s="40"/>
      <c r="J24" s="274"/>
      <c r="K24" s="23"/>
      <c r="L24" s="23"/>
      <c r="M24" s="23"/>
      <c r="N24" s="23"/>
      <c r="O24" s="23"/>
      <c r="P24" s="23"/>
      <c r="Q24" s="23"/>
      <c r="R24" s="23"/>
      <c r="S24" s="23"/>
      <c r="T24" s="23"/>
      <c r="U24" s="23"/>
      <c r="V24" s="23"/>
      <c r="W24" s="23"/>
      <c r="X24" s="23"/>
      <c r="Y24" s="23"/>
      <c r="Z24" s="23"/>
      <c r="AA24" s="23"/>
      <c r="AB24" s="23"/>
      <c r="AC24" s="23"/>
      <c r="AD24" s="23"/>
      <c r="AE24" s="23"/>
      <c r="AF24" s="23"/>
      <c r="AG24" s="23"/>
    </row>
    <row r="25" spans="1:33" x14ac:dyDescent="0.25">
      <c r="A25" s="32" t="str">
        <f t="shared" si="0"/>
        <v/>
      </c>
      <c r="B25" s="39"/>
      <c r="C25" s="39"/>
      <c r="D25" s="39"/>
      <c r="E25" s="39"/>
      <c r="F25" s="40"/>
      <c r="G25" s="39"/>
      <c r="H25" s="39"/>
      <c r="I25" s="40"/>
      <c r="J25" s="274"/>
      <c r="K25" s="23"/>
      <c r="L25" s="23"/>
      <c r="M25" s="23"/>
      <c r="N25" s="23"/>
      <c r="O25" s="23"/>
      <c r="P25" s="23"/>
      <c r="Q25" s="23"/>
      <c r="R25" s="23"/>
      <c r="S25" s="23"/>
      <c r="T25" s="23"/>
      <c r="U25" s="23"/>
      <c r="V25" s="23"/>
      <c r="W25" s="23"/>
      <c r="X25" s="23"/>
      <c r="Y25" s="23"/>
      <c r="Z25" s="23"/>
      <c r="AA25" s="23"/>
      <c r="AB25" s="23"/>
      <c r="AC25" s="23"/>
      <c r="AD25" s="23"/>
      <c r="AE25" s="23"/>
      <c r="AF25" s="23"/>
      <c r="AG25" s="23"/>
    </row>
    <row r="26" spans="1:33" x14ac:dyDescent="0.25">
      <c r="A26" s="32" t="str">
        <f t="shared" si="0"/>
        <v/>
      </c>
      <c r="B26" s="39"/>
      <c r="C26" s="39"/>
      <c r="D26" s="39"/>
      <c r="E26" s="39"/>
      <c r="F26" s="40"/>
      <c r="G26" s="39"/>
      <c r="H26" s="39"/>
      <c r="I26" s="40"/>
      <c r="J26" s="274"/>
      <c r="K26" s="23"/>
      <c r="L26" s="23"/>
      <c r="M26" s="23"/>
      <c r="N26" s="23"/>
      <c r="O26" s="23"/>
      <c r="P26" s="23"/>
      <c r="Q26" s="23"/>
      <c r="R26" s="23"/>
      <c r="S26" s="23"/>
      <c r="T26" s="23"/>
      <c r="U26" s="23"/>
      <c r="V26" s="23"/>
      <c r="W26" s="23"/>
      <c r="X26" s="23"/>
      <c r="Y26" s="23"/>
      <c r="Z26" s="23"/>
      <c r="AA26" s="23"/>
      <c r="AB26" s="23"/>
      <c r="AC26" s="23"/>
      <c r="AD26" s="23"/>
      <c r="AE26" s="23"/>
      <c r="AF26" s="23"/>
      <c r="AG26" s="23"/>
    </row>
    <row r="27" spans="1:33" x14ac:dyDescent="0.25">
      <c r="A27" s="32" t="str">
        <f t="shared" si="0"/>
        <v/>
      </c>
      <c r="B27" s="39"/>
      <c r="C27" s="39"/>
      <c r="D27" s="39"/>
      <c r="E27" s="39"/>
      <c r="F27" s="40"/>
      <c r="G27" s="39"/>
      <c r="H27" s="39"/>
      <c r="I27" s="40"/>
      <c r="J27" s="274"/>
      <c r="K27" s="23"/>
      <c r="L27" s="23"/>
      <c r="M27" s="23"/>
      <c r="N27" s="23"/>
      <c r="O27" s="23"/>
      <c r="P27" s="23"/>
      <c r="Q27" s="23"/>
      <c r="R27" s="23"/>
      <c r="S27" s="23"/>
      <c r="T27" s="23"/>
      <c r="U27" s="23"/>
      <c r="V27" s="23"/>
      <c r="W27" s="23"/>
      <c r="X27" s="23"/>
      <c r="Y27" s="23"/>
      <c r="Z27" s="23"/>
      <c r="AA27" s="23"/>
      <c r="AB27" s="23"/>
      <c r="AC27" s="23"/>
      <c r="AD27" s="23"/>
      <c r="AE27" s="23"/>
      <c r="AF27" s="23"/>
      <c r="AG27" s="23"/>
    </row>
    <row r="28" spans="1:33" x14ac:dyDescent="0.25">
      <c r="A28" s="32" t="str">
        <f t="shared" si="0"/>
        <v/>
      </c>
      <c r="B28" s="39"/>
      <c r="C28" s="39"/>
      <c r="D28" s="39"/>
      <c r="E28" s="39"/>
      <c r="F28" s="40"/>
      <c r="G28" s="39"/>
      <c r="H28" s="39"/>
      <c r="I28" s="40"/>
      <c r="J28" s="274"/>
      <c r="K28" s="23"/>
      <c r="L28" s="23"/>
      <c r="M28" s="23"/>
      <c r="N28" s="23"/>
      <c r="O28" s="23"/>
      <c r="P28" s="23"/>
      <c r="Q28" s="23"/>
      <c r="R28" s="23"/>
      <c r="S28" s="23"/>
      <c r="T28" s="23"/>
      <c r="U28" s="23"/>
      <c r="V28" s="23"/>
      <c r="W28" s="23"/>
      <c r="X28" s="23"/>
      <c r="Y28" s="23"/>
      <c r="Z28" s="23"/>
      <c r="AA28" s="23"/>
      <c r="AB28" s="23"/>
      <c r="AC28" s="23"/>
      <c r="AD28" s="23"/>
      <c r="AE28" s="23"/>
      <c r="AF28" s="23"/>
      <c r="AG28" s="23"/>
    </row>
  </sheetData>
  <mergeCells count="11">
    <mergeCell ref="P12:U12"/>
    <mergeCell ref="Y12:AD12"/>
    <mergeCell ref="Y14:AD14"/>
    <mergeCell ref="L16:AE16"/>
    <mergeCell ref="L4:AE4"/>
    <mergeCell ref="P6:U6"/>
    <mergeCell ref="Y6:AD6"/>
    <mergeCell ref="P8:U8"/>
    <mergeCell ref="Y8:AD8"/>
    <mergeCell ref="P10:U10"/>
    <mergeCell ref="Y10:AD10"/>
  </mergeCells>
  <pageMargins left="0.7" right="0.7" top="0.75" bottom="0.75" header="0.3" footer="0.3"/>
  <drawing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5"/>
  <dimension ref="A1:AG28"/>
  <sheetViews>
    <sheetView showGridLines="0" workbookViewId="0">
      <selection activeCell="Q1" sqref="Q1"/>
    </sheetView>
  </sheetViews>
  <sheetFormatPr defaultRowHeight="15.75" x14ac:dyDescent="0.25"/>
  <cols>
    <col min="1" max="1" width="7.875" bestFit="1" customWidth="1"/>
    <col min="2" max="3" width="10" bestFit="1" customWidth="1"/>
    <col min="4" max="4" width="19" bestFit="1" customWidth="1"/>
    <col min="5" max="5" width="8.375" bestFit="1" customWidth="1"/>
    <col min="6" max="6" width="5.375" bestFit="1" customWidth="1"/>
    <col min="7" max="7" width="5.875" bestFit="1" customWidth="1"/>
    <col min="8" max="8" width="11.875" bestFit="1" customWidth="1"/>
    <col min="9" max="9" width="11.875" customWidth="1"/>
    <col min="10" max="10" width="12.125" bestFit="1" customWidth="1"/>
    <col min="11" max="11" width="3.75" customWidth="1"/>
    <col min="12" max="31" width="3.625" customWidth="1"/>
    <col min="32" max="32" width="3" customWidth="1"/>
  </cols>
  <sheetData>
    <row r="1" spans="1:33" x14ac:dyDescent="0.25">
      <c r="A1" s="16"/>
      <c r="B1" s="16"/>
      <c r="C1" s="16"/>
      <c r="D1" s="16"/>
      <c r="E1" s="16"/>
      <c r="F1" s="16"/>
      <c r="G1" s="16"/>
      <c r="H1" s="16"/>
      <c r="I1" s="16"/>
      <c r="J1" s="16"/>
      <c r="K1" s="16"/>
      <c r="L1" s="16"/>
      <c r="M1" s="16"/>
      <c r="N1" s="16"/>
      <c r="O1" s="16"/>
      <c r="P1" s="16"/>
      <c r="Q1" s="16"/>
      <c r="R1" s="16"/>
      <c r="S1" s="17">
        <f t="shared" ref="S1:AB1" si="0">VLOOKUP(MAX($A$3:$A$147),$A$3:$H$147,2)</f>
        <v>0</v>
      </c>
      <c r="T1" s="17">
        <f t="shared" si="0"/>
        <v>0</v>
      </c>
      <c r="U1" s="17">
        <f t="shared" si="0"/>
        <v>0</v>
      </c>
      <c r="V1" s="17">
        <f t="shared" si="0"/>
        <v>0</v>
      </c>
      <c r="W1" s="17">
        <f t="shared" si="0"/>
        <v>0</v>
      </c>
      <c r="X1" s="17">
        <f t="shared" si="0"/>
        <v>0</v>
      </c>
      <c r="Y1" s="17">
        <f t="shared" si="0"/>
        <v>0</v>
      </c>
      <c r="Z1" s="17">
        <f t="shared" si="0"/>
        <v>0</v>
      </c>
      <c r="AA1" s="17">
        <f t="shared" si="0"/>
        <v>0</v>
      </c>
      <c r="AB1" s="17">
        <f t="shared" si="0"/>
        <v>0</v>
      </c>
      <c r="AC1" s="18"/>
      <c r="AD1" s="18"/>
      <c r="AE1" s="18"/>
      <c r="AF1" s="18"/>
      <c r="AG1" s="18"/>
    </row>
    <row r="2" spans="1:33" ht="16.5" thickBot="1" x14ac:dyDescent="0.3">
      <c r="A2" s="73"/>
      <c r="B2" s="20"/>
      <c r="C2" s="20"/>
      <c r="D2" s="20"/>
      <c r="E2" s="20"/>
      <c r="F2" s="20"/>
      <c r="G2" s="20"/>
      <c r="H2" s="20"/>
      <c r="I2" s="22"/>
      <c r="J2" s="20"/>
      <c r="K2" s="23"/>
      <c r="L2" s="23"/>
      <c r="M2" s="23"/>
      <c r="N2" s="23"/>
      <c r="O2" s="23"/>
      <c r="P2" s="23"/>
      <c r="Q2" s="23"/>
      <c r="R2" s="23"/>
      <c r="S2" s="23"/>
      <c r="T2" s="23"/>
      <c r="U2" s="23"/>
      <c r="V2" s="23"/>
      <c r="W2" s="23"/>
      <c r="X2" s="23"/>
      <c r="Y2" s="23"/>
      <c r="Z2" s="23"/>
      <c r="AA2" s="23"/>
      <c r="AB2" s="23"/>
      <c r="AC2" s="23"/>
      <c r="AD2" s="23"/>
      <c r="AE2" s="23"/>
      <c r="AF2" s="23"/>
      <c r="AG2" s="23"/>
    </row>
    <row r="3" spans="1:33" x14ac:dyDescent="0.25">
      <c r="A3" s="68" t="s">
        <v>38</v>
      </c>
      <c r="B3" s="69" t="s">
        <v>39</v>
      </c>
      <c r="C3" s="69" t="s">
        <v>40</v>
      </c>
      <c r="D3" s="69" t="s">
        <v>41</v>
      </c>
      <c r="E3" s="68" t="s">
        <v>42</v>
      </c>
      <c r="F3" s="68" t="s">
        <v>43</v>
      </c>
      <c r="G3" s="68" t="s">
        <v>44</v>
      </c>
      <c r="H3" s="68" t="s">
        <v>45</v>
      </c>
      <c r="I3" s="68" t="s">
        <v>99</v>
      </c>
      <c r="J3" s="68" t="s">
        <v>47</v>
      </c>
      <c r="K3" s="23"/>
      <c r="L3" s="29"/>
      <c r="M3" s="30"/>
      <c r="N3" s="30"/>
      <c r="O3" s="30"/>
      <c r="P3" s="30"/>
      <c r="Q3" s="30"/>
      <c r="R3" s="30"/>
      <c r="S3" s="30"/>
      <c r="T3" s="30"/>
      <c r="U3" s="30"/>
      <c r="V3" s="30"/>
      <c r="W3" s="30"/>
      <c r="X3" s="30"/>
      <c r="Y3" s="30"/>
      <c r="Z3" s="30"/>
      <c r="AA3" s="30"/>
      <c r="AB3" s="30"/>
      <c r="AC3" s="30"/>
      <c r="AD3" s="30"/>
      <c r="AE3" s="31"/>
      <c r="AF3" s="23"/>
      <c r="AG3" s="23"/>
    </row>
    <row r="4" spans="1:33" x14ac:dyDescent="0.25">
      <c r="A4" s="32">
        <v>1</v>
      </c>
      <c r="B4" s="33" t="s">
        <v>48</v>
      </c>
      <c r="C4" s="34" t="s">
        <v>49</v>
      </c>
      <c r="D4" s="34" t="s">
        <v>50</v>
      </c>
      <c r="E4" s="34" t="s">
        <v>51</v>
      </c>
      <c r="F4" s="35" t="s">
        <v>52</v>
      </c>
      <c r="G4" s="35">
        <v>30062</v>
      </c>
      <c r="H4" s="33" t="s">
        <v>53</v>
      </c>
      <c r="I4" s="37" t="s">
        <v>54</v>
      </c>
      <c r="J4" s="70">
        <v>157665</v>
      </c>
      <c r="K4" s="23"/>
      <c r="L4" s="300" t="s">
        <v>55</v>
      </c>
      <c r="M4" s="301"/>
      <c r="N4" s="301"/>
      <c r="O4" s="301"/>
      <c r="P4" s="301"/>
      <c r="Q4" s="301"/>
      <c r="R4" s="301"/>
      <c r="S4" s="301"/>
      <c r="T4" s="301"/>
      <c r="U4" s="301"/>
      <c r="V4" s="301"/>
      <c r="W4" s="301"/>
      <c r="X4" s="301"/>
      <c r="Y4" s="301"/>
      <c r="Z4" s="301"/>
      <c r="AA4" s="301"/>
      <c r="AB4" s="301"/>
      <c r="AC4" s="301"/>
      <c r="AD4" s="301"/>
      <c r="AE4" s="302"/>
      <c r="AF4" s="23"/>
      <c r="AG4" s="23"/>
    </row>
    <row r="5" spans="1:33" x14ac:dyDescent="0.25">
      <c r="A5" s="32">
        <v>2</v>
      </c>
      <c r="B5" s="39" t="s">
        <v>56</v>
      </c>
      <c r="C5" s="39" t="s">
        <v>57</v>
      </c>
      <c r="D5" s="39" t="s">
        <v>58</v>
      </c>
      <c r="E5" s="39" t="s">
        <v>51</v>
      </c>
      <c r="F5" s="40" t="s">
        <v>52</v>
      </c>
      <c r="G5" s="40">
        <v>30063</v>
      </c>
      <c r="H5" s="42" t="s">
        <v>59</v>
      </c>
      <c r="I5" s="43" t="s">
        <v>60</v>
      </c>
      <c r="J5" s="71">
        <v>156340</v>
      </c>
      <c r="K5" s="23"/>
      <c r="L5" s="45"/>
      <c r="M5" s="46"/>
      <c r="N5" s="46"/>
      <c r="O5" s="46"/>
      <c r="P5" s="46"/>
      <c r="Q5" s="46"/>
      <c r="R5" s="46"/>
      <c r="S5" s="46"/>
      <c r="T5" s="46"/>
      <c r="U5" s="46"/>
      <c r="V5" s="46"/>
      <c r="W5" s="46"/>
      <c r="X5" s="46"/>
      <c r="Y5" s="46"/>
      <c r="Z5" s="46"/>
      <c r="AA5" s="46"/>
      <c r="AB5" s="46"/>
      <c r="AC5" s="46"/>
      <c r="AD5" s="46"/>
      <c r="AE5" s="47"/>
      <c r="AF5" s="23"/>
      <c r="AG5" s="23"/>
    </row>
    <row r="6" spans="1:33" x14ac:dyDescent="0.25">
      <c r="A6" s="32">
        <v>3</v>
      </c>
      <c r="B6" s="39" t="s">
        <v>61</v>
      </c>
      <c r="C6" s="42" t="s">
        <v>62</v>
      </c>
      <c r="D6" s="39" t="s">
        <v>63</v>
      </c>
      <c r="E6" s="39" t="s">
        <v>51</v>
      </c>
      <c r="F6" s="40" t="s">
        <v>52</v>
      </c>
      <c r="G6" s="40">
        <v>30064</v>
      </c>
      <c r="H6" s="42" t="s">
        <v>64</v>
      </c>
      <c r="I6" s="43" t="s">
        <v>65</v>
      </c>
      <c r="J6" s="71">
        <v>81480</v>
      </c>
      <c r="K6" s="23"/>
      <c r="L6" s="45"/>
      <c r="M6" s="48" t="s">
        <v>39</v>
      </c>
      <c r="N6" s="46"/>
      <c r="O6" s="46"/>
      <c r="P6" s="49" t="str">
        <f>INDEX($B$4:$J$104,COUNTA($B$4:$B$104),MATCH(M6,$B$3:$J$3,0))</f>
        <v>Collins</v>
      </c>
      <c r="Q6" s="50"/>
      <c r="R6" s="50"/>
      <c r="S6" s="50"/>
      <c r="T6" s="50"/>
      <c r="U6" s="51"/>
      <c r="V6" s="46"/>
      <c r="W6" s="52" t="s">
        <v>42</v>
      </c>
      <c r="X6" s="46"/>
      <c r="Y6" s="49" t="str">
        <f>INDEX($B$4:$J$104,COUNTA($B$4:$B$104),MATCH(W6,$B$3:$J$3,0))</f>
        <v>Norcross</v>
      </c>
      <c r="Z6" s="49"/>
      <c r="AA6" s="50"/>
      <c r="AB6" s="50"/>
      <c r="AC6" s="50"/>
      <c r="AD6" s="51"/>
      <c r="AE6" s="47"/>
      <c r="AF6" s="23"/>
      <c r="AG6" s="23"/>
    </row>
    <row r="7" spans="1:33" x14ac:dyDescent="0.25">
      <c r="A7" s="32">
        <v>4</v>
      </c>
      <c r="B7" s="39" t="s">
        <v>66</v>
      </c>
      <c r="C7" s="42" t="s">
        <v>67</v>
      </c>
      <c r="D7" s="39" t="s">
        <v>68</v>
      </c>
      <c r="E7" s="39" t="s">
        <v>51</v>
      </c>
      <c r="F7" s="40" t="s">
        <v>52</v>
      </c>
      <c r="G7" s="40">
        <v>30065</v>
      </c>
      <c r="H7" s="42" t="s">
        <v>69</v>
      </c>
      <c r="I7" s="43" t="s">
        <v>54</v>
      </c>
      <c r="J7" s="71">
        <v>202578</v>
      </c>
      <c r="K7" s="23"/>
      <c r="L7" s="45"/>
      <c r="M7" s="46"/>
      <c r="N7" s="46"/>
      <c r="O7" s="46"/>
      <c r="P7" s="46"/>
      <c r="Q7" s="46"/>
      <c r="R7" s="46"/>
      <c r="S7" s="46"/>
      <c r="T7" s="46"/>
      <c r="U7" s="46"/>
      <c r="V7" s="46"/>
      <c r="W7" s="46"/>
      <c r="X7" s="46"/>
      <c r="Y7" s="46"/>
      <c r="Z7" s="46"/>
      <c r="AA7" s="46"/>
      <c r="AB7" s="46"/>
      <c r="AC7" s="46"/>
      <c r="AD7" s="46"/>
      <c r="AE7" s="47"/>
      <c r="AF7" s="23"/>
      <c r="AG7" s="23"/>
    </row>
    <row r="8" spans="1:33" x14ac:dyDescent="0.25">
      <c r="A8" s="32">
        <v>5</v>
      </c>
      <c r="B8" s="42" t="s">
        <v>70</v>
      </c>
      <c r="C8" s="39" t="s">
        <v>71</v>
      </c>
      <c r="D8" s="39" t="s">
        <v>72</v>
      </c>
      <c r="E8" s="39" t="s">
        <v>51</v>
      </c>
      <c r="F8" s="40" t="s">
        <v>52</v>
      </c>
      <c r="G8" s="40">
        <v>30066</v>
      </c>
      <c r="H8" s="42" t="s">
        <v>73</v>
      </c>
      <c r="I8" s="43" t="s">
        <v>60</v>
      </c>
      <c r="J8" s="71">
        <v>177209</v>
      </c>
      <c r="K8" s="23"/>
      <c r="L8" s="45"/>
      <c r="M8" s="48" t="s">
        <v>40</v>
      </c>
      <c r="N8" s="46"/>
      <c r="O8" s="46"/>
      <c r="P8" s="49" t="str">
        <f>INDEX($B$4:$J$104,COUNTA($B$4:$B$104),MATCH(M8,$B$3:$J$3,0))</f>
        <v>Carlton</v>
      </c>
      <c r="Q8" s="50"/>
      <c r="R8" s="50"/>
      <c r="S8" s="50"/>
      <c r="T8" s="50"/>
      <c r="U8" s="51"/>
      <c r="V8" s="46"/>
      <c r="W8" s="52" t="s">
        <v>43</v>
      </c>
      <c r="X8" s="46"/>
      <c r="Y8" s="49" t="str">
        <f>INDEX($B$4:$J$104,COUNTA($B$4:$B$104),MATCH(W8,$B$3:$J$3,0))</f>
        <v xml:space="preserve">GA </v>
      </c>
      <c r="Z8" s="50"/>
      <c r="AA8" s="50"/>
      <c r="AB8" s="50"/>
      <c r="AC8" s="50"/>
      <c r="AD8" s="51"/>
      <c r="AE8" s="47"/>
      <c r="AF8" s="23"/>
      <c r="AG8" s="23"/>
    </row>
    <row r="9" spans="1:33" x14ac:dyDescent="0.25">
      <c r="A9" s="32">
        <v>6</v>
      </c>
      <c r="B9" s="39" t="s">
        <v>74</v>
      </c>
      <c r="C9" s="39" t="s">
        <v>75</v>
      </c>
      <c r="D9" s="39" t="s">
        <v>76</v>
      </c>
      <c r="E9" s="39" t="s">
        <v>77</v>
      </c>
      <c r="F9" s="40" t="s">
        <v>52</v>
      </c>
      <c r="G9" s="40">
        <v>30092</v>
      </c>
      <c r="H9" s="42" t="s">
        <v>78</v>
      </c>
      <c r="I9" s="43" t="s">
        <v>65</v>
      </c>
      <c r="J9" s="71">
        <v>212254.23</v>
      </c>
      <c r="K9" s="23"/>
      <c r="L9" s="45"/>
      <c r="M9" s="46"/>
      <c r="N9" s="46"/>
      <c r="O9" s="46"/>
      <c r="P9" s="46"/>
      <c r="Q9" s="46"/>
      <c r="R9" s="46"/>
      <c r="S9" s="46"/>
      <c r="T9" s="46"/>
      <c r="U9" s="46"/>
      <c r="V9" s="46"/>
      <c r="W9" s="46"/>
      <c r="X9" s="46"/>
      <c r="Y9" s="46"/>
      <c r="Z9" s="46"/>
      <c r="AA9" s="46"/>
      <c r="AB9" s="46"/>
      <c r="AC9" s="46"/>
      <c r="AD9" s="46"/>
      <c r="AE9" s="47"/>
      <c r="AF9" s="23"/>
      <c r="AG9" s="23"/>
    </row>
    <row r="10" spans="1:33" x14ac:dyDescent="0.25">
      <c r="A10" s="32">
        <v>7</v>
      </c>
      <c r="B10" s="39" t="s">
        <v>79</v>
      </c>
      <c r="C10" s="39" t="s">
        <v>80</v>
      </c>
      <c r="D10" s="39" t="s">
        <v>50</v>
      </c>
      <c r="E10" s="39" t="s">
        <v>81</v>
      </c>
      <c r="F10" s="40" t="s">
        <v>82</v>
      </c>
      <c r="G10" s="40">
        <v>30092</v>
      </c>
      <c r="H10" s="42" t="s">
        <v>53</v>
      </c>
      <c r="I10" s="43" t="s">
        <v>54</v>
      </c>
      <c r="J10" s="71">
        <v>124533.45</v>
      </c>
      <c r="K10" s="23"/>
      <c r="L10" s="45"/>
      <c r="M10" s="48" t="s">
        <v>41</v>
      </c>
      <c r="N10" s="46"/>
      <c r="O10" s="46"/>
      <c r="P10" s="49" t="str">
        <f>INDEX($B$4:$J$104,COUNTA($B$4:$B$104),MATCH(M10,$B$3:$J$3,0))</f>
        <v>100 Peachtree Street</v>
      </c>
      <c r="Q10" s="50"/>
      <c r="R10" s="50"/>
      <c r="S10" s="50"/>
      <c r="T10" s="50"/>
      <c r="U10" s="51"/>
      <c r="V10" s="46"/>
      <c r="W10" s="52" t="s">
        <v>44</v>
      </c>
      <c r="X10" s="46"/>
      <c r="Y10" s="365">
        <f>INDEX($B$4:$J$104,COUNTA($B$4:$B$104),MATCH(W10,$B$3:$J$3,0))</f>
        <v>30092</v>
      </c>
      <c r="Z10" s="366"/>
      <c r="AA10" s="275"/>
      <c r="AB10" s="50"/>
      <c r="AC10" s="50"/>
      <c r="AD10" s="51"/>
      <c r="AE10" s="47"/>
      <c r="AF10" s="23"/>
      <c r="AG10" s="23"/>
    </row>
    <row r="11" spans="1:33" x14ac:dyDescent="0.25">
      <c r="A11" s="32">
        <v>8</v>
      </c>
      <c r="B11" s="39"/>
      <c r="C11" s="39"/>
      <c r="D11" s="39"/>
      <c r="E11" s="39"/>
      <c r="F11" s="39"/>
      <c r="G11" s="39"/>
      <c r="H11" s="39"/>
      <c r="I11" s="40"/>
      <c r="J11" s="39"/>
      <c r="K11" s="23"/>
      <c r="L11" s="45"/>
      <c r="M11" s="46"/>
      <c r="N11" s="46"/>
      <c r="O11" s="46"/>
      <c r="P11" s="46"/>
      <c r="Q11" s="46"/>
      <c r="R11" s="46"/>
      <c r="S11" s="46"/>
      <c r="T11" s="46"/>
      <c r="U11" s="46"/>
      <c r="V11" s="46"/>
      <c r="W11" s="46"/>
      <c r="X11" s="46"/>
      <c r="Y11" s="46"/>
      <c r="Z11" s="46"/>
      <c r="AA11" s="46"/>
      <c r="AB11" s="46"/>
      <c r="AC11" s="46"/>
      <c r="AD11" s="46"/>
      <c r="AE11" s="47"/>
      <c r="AF11" s="23"/>
      <c r="AG11" s="23"/>
    </row>
    <row r="12" spans="1:33" x14ac:dyDescent="0.25">
      <c r="A12" s="32">
        <v>9</v>
      </c>
      <c r="B12" s="39"/>
      <c r="C12" s="39"/>
      <c r="D12" s="39"/>
      <c r="E12" s="39"/>
      <c r="F12" s="39"/>
      <c r="G12" s="39"/>
      <c r="H12" s="39"/>
      <c r="I12" s="40"/>
      <c r="J12" s="39"/>
      <c r="K12" s="23"/>
      <c r="L12" s="45"/>
      <c r="M12" s="52" t="s">
        <v>45</v>
      </c>
      <c r="N12" s="46"/>
      <c r="O12" s="46"/>
      <c r="P12" s="49" t="str">
        <f>INDEX($B$4:$J$104,COUNTA($B$4:$B$104),MATCH(M12,$B$3:$J$3,0))</f>
        <v>770.842.5902</v>
      </c>
      <c r="Q12" s="50"/>
      <c r="R12" s="50"/>
      <c r="S12" s="50"/>
      <c r="T12" s="50"/>
      <c r="U12" s="51"/>
      <c r="V12" s="46"/>
      <c r="W12" s="60" t="s">
        <v>99</v>
      </c>
      <c r="X12" s="46"/>
      <c r="Y12" s="49" t="str">
        <f>INDEX($B$4:$J$104,COUNTA($B$4:$B$104),MATCH(W12,$B$3:$J$3,0))</f>
        <v>Plan A</v>
      </c>
      <c r="Z12" s="275"/>
      <c r="AA12" s="275"/>
      <c r="AB12" s="50"/>
      <c r="AC12" s="50"/>
      <c r="AD12" s="51"/>
      <c r="AE12" s="47"/>
      <c r="AF12" s="23"/>
      <c r="AG12" s="23"/>
    </row>
    <row r="13" spans="1:33" x14ac:dyDescent="0.25">
      <c r="A13" s="32">
        <v>10</v>
      </c>
      <c r="B13" s="39"/>
      <c r="C13" s="39"/>
      <c r="D13" s="39"/>
      <c r="E13" s="39"/>
      <c r="F13" s="39"/>
      <c r="G13" s="39"/>
      <c r="H13" s="39"/>
      <c r="I13" s="40"/>
      <c r="J13" s="39"/>
      <c r="K13" s="23"/>
      <c r="L13" s="45"/>
      <c r="M13" s="46"/>
      <c r="N13" s="46"/>
      <c r="O13" s="46"/>
      <c r="P13" s="46"/>
      <c r="Q13" s="46"/>
      <c r="R13" s="46"/>
      <c r="S13" s="46"/>
      <c r="T13" s="46"/>
      <c r="U13" s="46"/>
      <c r="V13" s="46"/>
      <c r="W13" s="46"/>
      <c r="X13" s="46"/>
      <c r="Y13" s="46"/>
      <c r="Z13" s="46"/>
      <c r="AA13" s="46"/>
      <c r="AB13" s="46"/>
      <c r="AC13" s="46"/>
      <c r="AD13" s="46"/>
      <c r="AE13" s="47"/>
      <c r="AF13" s="23"/>
      <c r="AG13" s="23"/>
    </row>
    <row r="14" spans="1:33" x14ac:dyDescent="0.25">
      <c r="A14" s="32">
        <v>11</v>
      </c>
      <c r="B14" s="39"/>
      <c r="C14" s="39"/>
      <c r="D14" s="39"/>
      <c r="E14" s="39"/>
      <c r="F14" s="39"/>
      <c r="G14" s="39"/>
      <c r="H14" s="39"/>
      <c r="I14" s="40"/>
      <c r="J14" s="39"/>
      <c r="K14" s="23"/>
      <c r="L14" s="45"/>
      <c r="M14" s="52" t="s">
        <v>90</v>
      </c>
      <c r="N14" s="46"/>
      <c r="O14" s="46"/>
      <c r="P14" s="46"/>
      <c r="Q14" s="46"/>
      <c r="R14" s="46"/>
      <c r="S14" s="46"/>
      <c r="T14" s="46"/>
      <c r="U14" s="46"/>
      <c r="V14" s="46"/>
      <c r="W14" s="46"/>
      <c r="X14" s="46"/>
      <c r="Y14" s="402">
        <f>INDEX($B$4:$J$104,COUNTA($B$4:$B$104),MATCH("Balance",$B$3:$J$3,0))</f>
        <v>124533.45</v>
      </c>
      <c r="Z14" s="403"/>
      <c r="AA14" s="403"/>
      <c r="AB14" s="403"/>
      <c r="AC14" s="50"/>
      <c r="AD14" s="51"/>
      <c r="AE14" s="47"/>
      <c r="AF14" s="23"/>
      <c r="AG14" s="23"/>
    </row>
    <row r="15" spans="1:33" x14ac:dyDescent="0.25">
      <c r="A15" s="32">
        <v>12</v>
      </c>
      <c r="B15" s="39"/>
      <c r="C15" s="39"/>
      <c r="D15" s="39"/>
      <c r="E15" s="39"/>
      <c r="F15" s="39"/>
      <c r="G15" s="39"/>
      <c r="H15" s="39"/>
      <c r="I15" s="40"/>
      <c r="J15" s="39"/>
      <c r="K15" s="23"/>
      <c r="L15" s="45"/>
      <c r="M15" s="46"/>
      <c r="N15" s="46"/>
      <c r="O15" s="46"/>
      <c r="P15" s="46"/>
      <c r="Q15" s="46"/>
      <c r="R15" s="46"/>
      <c r="S15" s="46"/>
      <c r="T15" s="46"/>
      <c r="U15" s="46"/>
      <c r="V15" s="46"/>
      <c r="W15" s="46"/>
      <c r="X15" s="46"/>
      <c r="Y15" s="46"/>
      <c r="Z15" s="46"/>
      <c r="AA15" s="46"/>
      <c r="AB15" s="46"/>
      <c r="AC15" s="46"/>
      <c r="AD15" s="46"/>
      <c r="AE15" s="47"/>
      <c r="AF15" s="23"/>
      <c r="AG15" s="23"/>
    </row>
    <row r="16" spans="1:33" x14ac:dyDescent="0.25">
      <c r="A16" s="32">
        <v>13</v>
      </c>
      <c r="B16" s="39"/>
      <c r="C16" s="39"/>
      <c r="D16" s="39"/>
      <c r="E16" s="39"/>
      <c r="F16" s="39"/>
      <c r="G16" s="39"/>
      <c r="H16" s="39"/>
      <c r="I16" s="40"/>
      <c r="J16" s="39"/>
      <c r="K16" s="23"/>
      <c r="L16" s="303" t="s">
        <v>91</v>
      </c>
      <c r="M16" s="304"/>
      <c r="N16" s="304"/>
      <c r="O16" s="304"/>
      <c r="P16" s="304"/>
      <c r="Q16" s="304"/>
      <c r="R16" s="304"/>
      <c r="S16" s="304"/>
      <c r="T16" s="304"/>
      <c r="U16" s="304"/>
      <c r="V16" s="304"/>
      <c r="W16" s="304"/>
      <c r="X16" s="304"/>
      <c r="Y16" s="304"/>
      <c r="Z16" s="304"/>
      <c r="AA16" s="304"/>
      <c r="AB16" s="304"/>
      <c r="AC16" s="304"/>
      <c r="AD16" s="304"/>
      <c r="AE16" s="305"/>
      <c r="AF16" s="23"/>
      <c r="AG16" s="23"/>
    </row>
    <row r="17" spans="1:33" ht="16.5" thickBot="1" x14ac:dyDescent="0.3">
      <c r="A17" s="32">
        <v>14</v>
      </c>
      <c r="B17" s="39"/>
      <c r="C17" s="39"/>
      <c r="D17" s="39"/>
      <c r="E17" s="39"/>
      <c r="F17" s="39"/>
      <c r="G17" s="39"/>
      <c r="H17" s="39"/>
      <c r="I17" s="40"/>
      <c r="J17" s="39"/>
      <c r="K17" s="23"/>
      <c r="L17" s="61"/>
      <c r="M17" s="62"/>
      <c r="N17" s="62"/>
      <c r="O17" s="62"/>
      <c r="P17" s="62"/>
      <c r="Q17" s="62"/>
      <c r="R17" s="62"/>
      <c r="S17" s="62"/>
      <c r="T17" s="62"/>
      <c r="U17" s="62"/>
      <c r="V17" s="62"/>
      <c r="W17" s="62"/>
      <c r="X17" s="62"/>
      <c r="Y17" s="62"/>
      <c r="Z17" s="62"/>
      <c r="AA17" s="62"/>
      <c r="AB17" s="62"/>
      <c r="AC17" s="62"/>
      <c r="AD17" s="62"/>
      <c r="AE17" s="63"/>
      <c r="AF17" s="23"/>
      <c r="AG17" s="23"/>
    </row>
    <row r="18" spans="1:33" x14ac:dyDescent="0.25">
      <c r="A18" s="32">
        <v>15</v>
      </c>
      <c r="B18" s="39"/>
      <c r="C18" s="39"/>
      <c r="D18" s="39"/>
      <c r="E18" s="39"/>
      <c r="F18" s="39"/>
      <c r="G18" s="39"/>
      <c r="H18" s="39"/>
      <c r="I18" s="40"/>
      <c r="J18" s="39"/>
      <c r="K18" s="23"/>
      <c r="L18" s="23"/>
      <c r="M18" s="23"/>
      <c r="N18" s="23"/>
      <c r="O18" s="23"/>
      <c r="P18" s="23"/>
      <c r="Q18" s="23"/>
      <c r="R18" s="23"/>
      <c r="S18" s="23"/>
      <c r="T18" s="23"/>
      <c r="U18" s="23"/>
      <c r="V18" s="23"/>
      <c r="W18" s="23"/>
      <c r="X18" s="23"/>
      <c r="Y18" s="23"/>
      <c r="Z18" s="23"/>
      <c r="AA18" s="23"/>
      <c r="AB18" s="23"/>
      <c r="AC18" s="23"/>
      <c r="AD18" s="23"/>
      <c r="AE18" s="23"/>
      <c r="AF18" s="23"/>
      <c r="AG18" s="23"/>
    </row>
    <row r="19" spans="1:33" x14ac:dyDescent="0.25">
      <c r="A19" s="32">
        <v>16</v>
      </c>
      <c r="B19" s="39"/>
      <c r="C19" s="39"/>
      <c r="D19" s="39"/>
      <c r="E19" s="39"/>
      <c r="F19" s="39"/>
      <c r="G19" s="39"/>
      <c r="H19" s="39"/>
      <c r="I19" s="40"/>
      <c r="J19" s="39"/>
      <c r="K19" s="23"/>
      <c r="L19" s="23"/>
      <c r="M19" s="23"/>
      <c r="N19" s="23"/>
      <c r="O19" s="23"/>
      <c r="P19" s="23"/>
      <c r="Q19" s="23"/>
      <c r="R19" s="23"/>
      <c r="S19" s="23"/>
      <c r="T19" s="23"/>
      <c r="U19" s="23"/>
      <c r="V19" s="23"/>
      <c r="W19" s="23"/>
      <c r="X19" s="23"/>
      <c r="Y19" s="23"/>
      <c r="Z19" s="23"/>
      <c r="AA19" s="23"/>
      <c r="AB19" s="23"/>
      <c r="AC19" s="23"/>
      <c r="AD19" s="23"/>
      <c r="AE19" s="23"/>
      <c r="AF19" s="23"/>
      <c r="AG19" s="23"/>
    </row>
    <row r="20" spans="1:33" x14ac:dyDescent="0.25">
      <c r="A20" s="32">
        <v>17</v>
      </c>
      <c r="B20" s="39"/>
      <c r="C20" s="39"/>
      <c r="D20" s="39"/>
      <c r="E20" s="39"/>
      <c r="F20" s="39"/>
      <c r="G20" s="39"/>
      <c r="H20" s="39"/>
      <c r="I20" s="40"/>
      <c r="J20" s="39"/>
      <c r="K20" s="23"/>
      <c r="L20" s="23"/>
      <c r="M20" s="23"/>
      <c r="N20" s="23"/>
      <c r="O20" s="23"/>
      <c r="P20" s="23"/>
      <c r="Q20" s="23"/>
      <c r="R20" s="23"/>
      <c r="S20" s="23"/>
      <c r="T20" s="23"/>
      <c r="U20" s="23"/>
      <c r="V20" s="23"/>
      <c r="W20" s="23"/>
      <c r="X20" s="23"/>
      <c r="Y20" s="23"/>
      <c r="Z20" s="23"/>
      <c r="AA20" s="23"/>
      <c r="AB20" s="23"/>
      <c r="AC20" s="23"/>
      <c r="AD20" s="23"/>
      <c r="AE20" s="23"/>
      <c r="AF20" s="23"/>
      <c r="AG20" s="23"/>
    </row>
    <row r="21" spans="1:33" x14ac:dyDescent="0.25">
      <c r="A21" s="32">
        <v>18</v>
      </c>
      <c r="B21" s="39"/>
      <c r="C21" s="39"/>
      <c r="D21" s="39"/>
      <c r="E21" s="39"/>
      <c r="F21" s="39"/>
      <c r="G21" s="39"/>
      <c r="H21" s="39"/>
      <c r="I21" s="40"/>
      <c r="J21" s="39"/>
      <c r="K21" s="23"/>
      <c r="L21" s="23"/>
      <c r="M21" s="23"/>
      <c r="N21" s="23"/>
      <c r="O21" s="23"/>
      <c r="P21" s="23"/>
      <c r="Q21" s="23"/>
      <c r="R21" s="23"/>
      <c r="S21" s="23"/>
      <c r="T21" s="23"/>
      <c r="U21" s="23"/>
      <c r="V21" s="23"/>
      <c r="W21" s="23"/>
      <c r="X21" s="23"/>
      <c r="Y21" s="23"/>
      <c r="Z21" s="23"/>
      <c r="AA21" s="23"/>
      <c r="AB21" s="23"/>
      <c r="AC21" s="23"/>
      <c r="AD21" s="23"/>
      <c r="AE21" s="23"/>
      <c r="AF21" s="23"/>
      <c r="AG21" s="23"/>
    </row>
    <row r="22" spans="1:33" x14ac:dyDescent="0.25">
      <c r="A22" s="32">
        <v>19</v>
      </c>
      <c r="B22" s="39"/>
      <c r="C22" s="39"/>
      <c r="D22" s="39"/>
      <c r="E22" s="39"/>
      <c r="F22" s="39"/>
      <c r="G22" s="39"/>
      <c r="H22" s="39"/>
      <c r="I22" s="40"/>
      <c r="J22" s="39"/>
      <c r="K22" s="23"/>
      <c r="L22" s="23"/>
      <c r="M22" s="23"/>
      <c r="N22" s="23"/>
      <c r="O22" s="23"/>
      <c r="P22" s="23"/>
      <c r="Q22" s="23"/>
      <c r="R22" s="23"/>
      <c r="S22" s="23"/>
      <c r="T22" s="23"/>
      <c r="U22" s="23"/>
      <c r="V22" s="23"/>
      <c r="W22" s="23"/>
      <c r="X22" s="23"/>
      <c r="Y22" s="23"/>
      <c r="Z22" s="23"/>
      <c r="AA22" s="23"/>
      <c r="AB22" s="23"/>
      <c r="AC22" s="23"/>
      <c r="AD22" s="23"/>
      <c r="AE22" s="23"/>
      <c r="AF22" s="23"/>
      <c r="AG22" s="23"/>
    </row>
    <row r="23" spans="1:33" x14ac:dyDescent="0.25">
      <c r="A23" s="32">
        <v>20</v>
      </c>
      <c r="B23" s="39"/>
      <c r="C23" s="39"/>
      <c r="D23" s="39"/>
      <c r="E23" s="39"/>
      <c r="F23" s="39"/>
      <c r="G23" s="39"/>
      <c r="H23" s="39"/>
      <c r="I23" s="40"/>
      <c r="J23" s="39"/>
      <c r="K23" s="23"/>
      <c r="L23" s="23"/>
      <c r="M23" s="23"/>
      <c r="N23" s="23"/>
      <c r="O23" s="23"/>
      <c r="P23" s="23"/>
      <c r="Q23" s="23"/>
      <c r="R23" s="23"/>
      <c r="S23" s="23"/>
      <c r="T23" s="23"/>
      <c r="U23" s="23"/>
      <c r="V23" s="23"/>
      <c r="W23" s="23"/>
      <c r="X23" s="23"/>
      <c r="Y23" s="23"/>
      <c r="Z23" s="23"/>
      <c r="AA23" s="23"/>
      <c r="AB23" s="23"/>
      <c r="AC23" s="23"/>
      <c r="AD23" s="23"/>
      <c r="AE23" s="23"/>
      <c r="AF23" s="23"/>
      <c r="AG23" s="23"/>
    </row>
    <row r="24" spans="1:33" x14ac:dyDescent="0.25">
      <c r="A24" s="32">
        <v>21</v>
      </c>
      <c r="B24" s="39"/>
      <c r="C24" s="39"/>
      <c r="D24" s="39"/>
      <c r="E24" s="39"/>
      <c r="F24" s="39"/>
      <c r="G24" s="39"/>
      <c r="H24" s="39"/>
      <c r="I24" s="40"/>
      <c r="J24" s="39"/>
      <c r="K24" s="23"/>
      <c r="L24" s="23"/>
      <c r="M24" s="23"/>
      <c r="N24" s="23"/>
      <c r="O24" s="23"/>
      <c r="P24" s="23"/>
      <c r="Q24" s="23"/>
      <c r="R24" s="23"/>
      <c r="S24" s="23"/>
      <c r="T24" s="23"/>
      <c r="U24" s="23"/>
      <c r="V24" s="23"/>
      <c r="W24" s="23"/>
      <c r="X24" s="23"/>
      <c r="Y24" s="23"/>
      <c r="Z24" s="23"/>
      <c r="AA24" s="23"/>
      <c r="AB24" s="23"/>
      <c r="AC24" s="23"/>
      <c r="AD24" s="23"/>
      <c r="AE24" s="23"/>
      <c r="AF24" s="23"/>
      <c r="AG24" s="23"/>
    </row>
    <row r="25" spans="1:33" x14ac:dyDescent="0.25">
      <c r="A25" s="32">
        <v>22</v>
      </c>
      <c r="B25" s="39"/>
      <c r="C25" s="39"/>
      <c r="D25" s="39"/>
      <c r="E25" s="39"/>
      <c r="F25" s="39"/>
      <c r="G25" s="39"/>
      <c r="H25" s="39"/>
      <c r="I25" s="40"/>
      <c r="J25" s="39"/>
      <c r="K25" s="23"/>
      <c r="L25" s="23"/>
      <c r="M25" s="23"/>
      <c r="N25" s="23"/>
      <c r="O25" s="23"/>
      <c r="P25" s="23"/>
      <c r="Q25" s="23"/>
      <c r="R25" s="23"/>
      <c r="S25" s="23"/>
      <c r="T25" s="23"/>
      <c r="U25" s="23"/>
      <c r="V25" s="23"/>
      <c r="W25" s="23"/>
      <c r="X25" s="23"/>
      <c r="Y25" s="23"/>
      <c r="Z25" s="23"/>
      <c r="AA25" s="23"/>
      <c r="AB25" s="23"/>
      <c r="AC25" s="23"/>
      <c r="AD25" s="23"/>
      <c r="AE25" s="23"/>
      <c r="AF25" s="23"/>
      <c r="AG25" s="23"/>
    </row>
    <row r="26" spans="1:33" x14ac:dyDescent="0.25">
      <c r="A26" s="32">
        <v>23</v>
      </c>
      <c r="B26" s="39"/>
      <c r="C26" s="39"/>
      <c r="D26" s="39"/>
      <c r="E26" s="39"/>
      <c r="F26" s="39"/>
      <c r="G26" s="39"/>
      <c r="H26" s="39"/>
      <c r="I26" s="40"/>
      <c r="J26" s="39"/>
      <c r="K26" s="23"/>
      <c r="L26" s="23"/>
      <c r="M26" s="23"/>
      <c r="N26" s="23"/>
      <c r="O26" s="23"/>
      <c r="P26" s="23"/>
      <c r="Q26" s="23"/>
      <c r="R26" s="23"/>
      <c r="S26" s="23"/>
      <c r="T26" s="23"/>
      <c r="U26" s="23"/>
      <c r="V26" s="23"/>
      <c r="W26" s="23"/>
      <c r="X26" s="23"/>
      <c r="Y26" s="23"/>
      <c r="Z26" s="23"/>
      <c r="AA26" s="23"/>
      <c r="AB26" s="23"/>
      <c r="AC26" s="23"/>
      <c r="AD26" s="23"/>
      <c r="AE26" s="23"/>
      <c r="AF26" s="23"/>
      <c r="AG26" s="23"/>
    </row>
    <row r="27" spans="1:33" x14ac:dyDescent="0.25">
      <c r="A27" s="32">
        <v>24</v>
      </c>
      <c r="B27" s="39"/>
      <c r="C27" s="39"/>
      <c r="D27" s="39"/>
      <c r="E27" s="39"/>
      <c r="F27" s="39"/>
      <c r="G27" s="39"/>
      <c r="H27" s="39"/>
      <c r="I27" s="40"/>
      <c r="J27" s="39"/>
      <c r="K27" s="23"/>
      <c r="L27" s="23"/>
      <c r="M27" s="23"/>
      <c r="N27" s="23"/>
      <c r="O27" s="23"/>
      <c r="P27" s="23"/>
      <c r="Q27" s="23"/>
      <c r="R27" s="23"/>
      <c r="S27" s="23"/>
      <c r="T27" s="23"/>
      <c r="U27" s="23"/>
      <c r="V27" s="23"/>
      <c r="W27" s="23"/>
      <c r="X27" s="23"/>
      <c r="Y27" s="23"/>
      <c r="Z27" s="23"/>
      <c r="AA27" s="23"/>
      <c r="AB27" s="23"/>
      <c r="AC27" s="23"/>
      <c r="AD27" s="23"/>
      <c r="AE27" s="23"/>
      <c r="AF27" s="23"/>
      <c r="AG27" s="23"/>
    </row>
    <row r="28" spans="1:33" x14ac:dyDescent="0.25">
      <c r="A28" s="32">
        <v>25</v>
      </c>
      <c r="B28" s="39"/>
      <c r="C28" s="39"/>
      <c r="D28" s="39"/>
      <c r="E28" s="39"/>
      <c r="F28" s="39"/>
      <c r="G28" s="39"/>
      <c r="H28" s="39"/>
      <c r="I28" s="40"/>
      <c r="J28" s="39"/>
      <c r="K28" s="23"/>
      <c r="L28" s="23"/>
      <c r="M28" s="23"/>
      <c r="N28" s="23"/>
      <c r="O28" s="23"/>
      <c r="P28" s="23"/>
      <c r="Q28" s="23"/>
      <c r="R28" s="23"/>
      <c r="S28" s="23"/>
      <c r="T28" s="23"/>
      <c r="U28" s="23"/>
      <c r="V28" s="23"/>
      <c r="W28" s="23"/>
      <c r="X28" s="23"/>
      <c r="Y28" s="23"/>
      <c r="Z28" s="23"/>
      <c r="AA28" s="23"/>
      <c r="AB28" s="23"/>
      <c r="AC28" s="23"/>
      <c r="AD28" s="23"/>
      <c r="AE28" s="23"/>
      <c r="AF28" s="23"/>
      <c r="AG28" s="23"/>
    </row>
  </sheetData>
  <mergeCells count="4">
    <mergeCell ref="L4:AE4"/>
    <mergeCell ref="Y10:Z10"/>
    <mergeCell ref="Y14:AB14"/>
    <mergeCell ref="L16:AE16"/>
  </mergeCells>
  <pageMargins left="0.7" right="0.7" top="0.75" bottom="0.75" header="0.3" footer="0.3"/>
  <drawing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6"/>
  <dimension ref="A1:AH27"/>
  <sheetViews>
    <sheetView showGridLines="0" workbookViewId="0">
      <selection activeCell="Q1" sqref="Q1"/>
    </sheetView>
  </sheetViews>
  <sheetFormatPr defaultRowHeight="15.75" x14ac:dyDescent="0.25"/>
  <cols>
    <col min="1" max="1" width="9" customWidth="1"/>
    <col min="2" max="2" width="7.875" bestFit="1" customWidth="1"/>
    <col min="3" max="4" width="10" bestFit="1" customWidth="1"/>
    <col min="5" max="5" width="19" bestFit="1" customWidth="1"/>
    <col min="6" max="6" width="8.375" bestFit="1" customWidth="1"/>
    <col min="7" max="7" width="5.375" bestFit="1" customWidth="1"/>
    <col min="8" max="8" width="5.875" bestFit="1" customWidth="1"/>
    <col min="9" max="9" width="11.875" bestFit="1" customWidth="1"/>
    <col min="10" max="10" width="11.875" customWidth="1"/>
    <col min="11" max="11" width="12.125" bestFit="1" customWidth="1"/>
    <col min="12" max="12" width="3.75" customWidth="1"/>
    <col min="13" max="32" width="3.625" customWidth="1"/>
    <col min="33" max="33" width="3" customWidth="1"/>
  </cols>
  <sheetData>
    <row r="1" spans="1:34" x14ac:dyDescent="0.25">
      <c r="A1" s="18"/>
      <c r="B1" s="16"/>
      <c r="C1" s="16"/>
      <c r="D1" s="16"/>
      <c r="E1" s="16"/>
      <c r="F1" s="16"/>
      <c r="G1" s="16"/>
      <c r="H1" s="16"/>
      <c r="I1" s="16"/>
      <c r="J1" s="16"/>
      <c r="K1" s="16"/>
      <c r="L1" s="16"/>
      <c r="M1" s="16"/>
      <c r="N1" s="16"/>
      <c r="O1" s="16"/>
      <c r="P1" s="16"/>
      <c r="Q1" s="16"/>
      <c r="R1" s="16"/>
      <c r="S1" s="16"/>
      <c r="T1" s="17">
        <f t="shared" ref="T1:AC1" si="0">VLOOKUP(MAX($B$3:$B$147),$B$3:$I$147,2)</f>
        <v>0</v>
      </c>
      <c r="U1" s="17">
        <f t="shared" si="0"/>
        <v>0</v>
      </c>
      <c r="V1" s="17">
        <f t="shared" si="0"/>
        <v>0</v>
      </c>
      <c r="W1" s="17">
        <f t="shared" si="0"/>
        <v>0</v>
      </c>
      <c r="X1" s="17">
        <f t="shared" si="0"/>
        <v>0</v>
      </c>
      <c r="Y1" s="17">
        <f t="shared" si="0"/>
        <v>0</v>
      </c>
      <c r="Z1" s="17">
        <f t="shared" si="0"/>
        <v>0</v>
      </c>
      <c r="AA1" s="17">
        <f t="shared" si="0"/>
        <v>0</v>
      </c>
      <c r="AB1" s="17">
        <f t="shared" si="0"/>
        <v>0</v>
      </c>
      <c r="AC1" s="17">
        <f t="shared" si="0"/>
        <v>0</v>
      </c>
      <c r="AD1" s="18"/>
      <c r="AE1" s="18"/>
      <c r="AF1" s="18"/>
      <c r="AG1" s="18"/>
      <c r="AH1" s="18"/>
    </row>
    <row r="2" spans="1:34" ht="16.5" thickBot="1" x14ac:dyDescent="0.3">
      <c r="A2" s="23"/>
      <c r="B2" s="73"/>
      <c r="C2" s="20"/>
      <c r="D2" s="20"/>
      <c r="E2" s="20"/>
      <c r="F2" s="20"/>
      <c r="G2" s="20"/>
      <c r="H2" s="20"/>
      <c r="I2" s="20"/>
      <c r="J2" s="22"/>
      <c r="K2" s="20"/>
      <c r="L2" s="23"/>
      <c r="M2" s="23"/>
      <c r="N2" s="23"/>
      <c r="O2" s="23"/>
      <c r="P2" s="23"/>
      <c r="Q2" s="23"/>
      <c r="R2" s="23"/>
      <c r="S2" s="23"/>
      <c r="T2" s="23"/>
      <c r="U2" s="23"/>
      <c r="V2" s="23"/>
      <c r="W2" s="23"/>
      <c r="X2" s="23"/>
      <c r="Y2" s="23"/>
      <c r="Z2" s="23"/>
      <c r="AA2" s="23"/>
      <c r="AB2" s="23"/>
      <c r="AC2" s="23"/>
      <c r="AD2" s="23"/>
      <c r="AE2" s="23"/>
      <c r="AF2" s="23"/>
      <c r="AG2" s="23"/>
      <c r="AH2" s="23"/>
    </row>
    <row r="3" spans="1:34" x14ac:dyDescent="0.25">
      <c r="A3" s="73">
        <f>VLOOKUP("Y",A4:B104,2,FALSE)-1</f>
        <v>7</v>
      </c>
      <c r="B3" s="68" t="s">
        <v>38</v>
      </c>
      <c r="C3" s="69" t="s">
        <v>39</v>
      </c>
      <c r="D3" s="69" t="s">
        <v>40</v>
      </c>
      <c r="E3" s="69" t="s">
        <v>41</v>
      </c>
      <c r="F3" s="68" t="s">
        <v>42</v>
      </c>
      <c r="G3" s="68" t="s">
        <v>43</v>
      </c>
      <c r="H3" s="68" t="s">
        <v>44</v>
      </c>
      <c r="I3" s="68" t="s">
        <v>45</v>
      </c>
      <c r="J3" s="68" t="s">
        <v>46</v>
      </c>
      <c r="K3" s="68" t="s">
        <v>47</v>
      </c>
      <c r="L3" s="23"/>
      <c r="M3" s="29"/>
      <c r="N3" s="30"/>
      <c r="O3" s="30"/>
      <c r="P3" s="30"/>
      <c r="Q3" s="30"/>
      <c r="R3" s="30"/>
      <c r="S3" s="30"/>
      <c r="T3" s="30"/>
      <c r="U3" s="30"/>
      <c r="V3" s="30"/>
      <c r="W3" s="30"/>
      <c r="X3" s="30"/>
      <c r="Y3" s="30"/>
      <c r="Z3" s="30"/>
      <c r="AA3" s="30"/>
      <c r="AB3" s="30"/>
      <c r="AC3" s="30"/>
      <c r="AD3" s="30"/>
      <c r="AE3" s="30"/>
      <c r="AF3" s="31"/>
      <c r="AG3" s="23"/>
      <c r="AH3" s="23"/>
    </row>
    <row r="4" spans="1:34" x14ac:dyDescent="0.25">
      <c r="A4" s="23" t="str">
        <f>IF(AND(C4&lt;&gt;"",D4&lt;&gt;"",E4&lt;&gt;"",F4&lt;&gt;"",G4&lt;&gt;"",H4&lt;&gt;"",I4&lt;&gt;"",J4&lt;&gt;"",K4&lt;&gt;""),"X","Y")</f>
        <v>X</v>
      </c>
      <c r="B4" s="32">
        <v>1</v>
      </c>
      <c r="C4" s="33" t="s">
        <v>48</v>
      </c>
      <c r="D4" s="34" t="s">
        <v>49</v>
      </c>
      <c r="E4" s="34" t="s">
        <v>50</v>
      </c>
      <c r="F4" s="34" t="s">
        <v>51</v>
      </c>
      <c r="G4" s="35" t="s">
        <v>52</v>
      </c>
      <c r="H4" s="35">
        <v>30062</v>
      </c>
      <c r="I4" s="33" t="s">
        <v>53</v>
      </c>
      <c r="J4" s="37" t="s">
        <v>54</v>
      </c>
      <c r="K4" s="70">
        <v>157665</v>
      </c>
      <c r="L4" s="23"/>
      <c r="M4" s="300" t="s">
        <v>55</v>
      </c>
      <c r="N4" s="301"/>
      <c r="O4" s="301"/>
      <c r="P4" s="301"/>
      <c r="Q4" s="301"/>
      <c r="R4" s="301"/>
      <c r="S4" s="301"/>
      <c r="T4" s="301"/>
      <c r="U4" s="301"/>
      <c r="V4" s="301"/>
      <c r="W4" s="301"/>
      <c r="X4" s="301"/>
      <c r="Y4" s="301"/>
      <c r="Z4" s="301"/>
      <c r="AA4" s="301"/>
      <c r="AB4" s="301"/>
      <c r="AC4" s="301"/>
      <c r="AD4" s="301"/>
      <c r="AE4" s="301"/>
      <c r="AF4" s="302"/>
      <c r="AG4" s="23"/>
      <c r="AH4" s="23"/>
    </row>
    <row r="5" spans="1:34" x14ac:dyDescent="0.25">
      <c r="A5" s="23" t="str">
        <f t="shared" ref="A5:A27" si="1">IF(AND(C5&lt;&gt;"",D5&lt;&gt;"",E5&lt;&gt;"",F5&lt;&gt;"",G5&lt;&gt;"",H5&lt;&gt;"",I5&lt;&gt;"",J5&lt;&gt;"",K5&lt;&gt;""),"X","Y")</f>
        <v>X</v>
      </c>
      <c r="B5" s="32">
        <v>2</v>
      </c>
      <c r="C5" s="39" t="s">
        <v>56</v>
      </c>
      <c r="D5" s="39" t="s">
        <v>57</v>
      </c>
      <c r="E5" s="39" t="s">
        <v>58</v>
      </c>
      <c r="F5" s="39" t="s">
        <v>51</v>
      </c>
      <c r="G5" s="40" t="s">
        <v>52</v>
      </c>
      <c r="H5" s="40">
        <v>30063</v>
      </c>
      <c r="I5" s="42" t="s">
        <v>59</v>
      </c>
      <c r="J5" s="43" t="s">
        <v>60</v>
      </c>
      <c r="K5" s="71">
        <v>156340</v>
      </c>
      <c r="L5" s="23"/>
      <c r="M5" s="45"/>
      <c r="N5" s="46"/>
      <c r="O5" s="46"/>
      <c r="P5" s="46"/>
      <c r="Q5" s="46"/>
      <c r="R5" s="46"/>
      <c r="S5" s="46"/>
      <c r="T5" s="46"/>
      <c r="U5" s="46"/>
      <c r="V5" s="46"/>
      <c r="W5" s="46"/>
      <c r="X5" s="46"/>
      <c r="Y5" s="46"/>
      <c r="Z5" s="46"/>
      <c r="AA5" s="46"/>
      <c r="AB5" s="46"/>
      <c r="AC5" s="46"/>
      <c r="AD5" s="46"/>
      <c r="AE5" s="46"/>
      <c r="AF5" s="47"/>
      <c r="AG5" s="23"/>
      <c r="AH5" s="23"/>
    </row>
    <row r="6" spans="1:34" x14ac:dyDescent="0.25">
      <c r="A6" s="23" t="str">
        <f t="shared" si="1"/>
        <v>X</v>
      </c>
      <c r="B6" s="32">
        <v>3</v>
      </c>
      <c r="C6" s="39" t="s">
        <v>61</v>
      </c>
      <c r="D6" s="42" t="s">
        <v>62</v>
      </c>
      <c r="E6" s="39" t="s">
        <v>63</v>
      </c>
      <c r="F6" s="39" t="s">
        <v>51</v>
      </c>
      <c r="G6" s="40" t="s">
        <v>52</v>
      </c>
      <c r="H6" s="40">
        <v>30064</v>
      </c>
      <c r="I6" s="42" t="s">
        <v>64</v>
      </c>
      <c r="J6" s="43" t="s">
        <v>65</v>
      </c>
      <c r="K6" s="71">
        <v>81480</v>
      </c>
      <c r="L6" s="23"/>
      <c r="M6" s="45"/>
      <c r="N6" s="48" t="s">
        <v>39</v>
      </c>
      <c r="O6" s="46"/>
      <c r="P6" s="46"/>
      <c r="Q6" s="49" t="str">
        <f>VLOOKUP($A$3,$B$4:$K$104,2,FALSE)</f>
        <v>Collins</v>
      </c>
      <c r="R6" s="50"/>
      <c r="S6" s="50"/>
      <c r="T6" s="50"/>
      <c r="U6" s="50"/>
      <c r="V6" s="51"/>
      <c r="W6" s="46"/>
      <c r="X6" s="52" t="s">
        <v>42</v>
      </c>
      <c r="Y6" s="46"/>
      <c r="Z6" s="49" t="str">
        <f>VLOOKUP($A$3,$B$4:$K$104,5,FALSE)</f>
        <v>Norcross</v>
      </c>
      <c r="AA6" s="50"/>
      <c r="AB6" s="50"/>
      <c r="AC6" s="50"/>
      <c r="AD6" s="50"/>
      <c r="AE6" s="51"/>
      <c r="AF6" s="47"/>
      <c r="AG6" s="23"/>
      <c r="AH6" s="23"/>
    </row>
    <row r="7" spans="1:34" x14ac:dyDescent="0.25">
      <c r="A7" s="23" t="str">
        <f t="shared" si="1"/>
        <v>X</v>
      </c>
      <c r="B7" s="32">
        <v>4</v>
      </c>
      <c r="C7" s="39" t="s">
        <v>66</v>
      </c>
      <c r="D7" s="42" t="s">
        <v>67</v>
      </c>
      <c r="E7" s="39" t="s">
        <v>68</v>
      </c>
      <c r="F7" s="39" t="s">
        <v>51</v>
      </c>
      <c r="G7" s="40" t="s">
        <v>52</v>
      </c>
      <c r="H7" s="40">
        <v>30065</v>
      </c>
      <c r="I7" s="42" t="s">
        <v>69</v>
      </c>
      <c r="J7" s="43" t="s">
        <v>54</v>
      </c>
      <c r="K7" s="71">
        <v>202578</v>
      </c>
      <c r="L7" s="23"/>
      <c r="M7" s="45"/>
      <c r="N7" s="46"/>
      <c r="O7" s="46"/>
      <c r="P7" s="46"/>
      <c r="Q7" s="46"/>
      <c r="R7" s="46"/>
      <c r="S7" s="46"/>
      <c r="T7" s="46"/>
      <c r="U7" s="46"/>
      <c r="V7" s="46"/>
      <c r="W7" s="46"/>
      <c r="X7" s="46"/>
      <c r="Y7" s="46"/>
      <c r="Z7" s="46"/>
      <c r="AA7" s="46"/>
      <c r="AB7" s="46"/>
      <c r="AC7" s="46"/>
      <c r="AD7" s="46"/>
      <c r="AE7" s="46"/>
      <c r="AF7" s="47"/>
      <c r="AG7" s="23"/>
      <c r="AH7" s="23"/>
    </row>
    <row r="8" spans="1:34" x14ac:dyDescent="0.25">
      <c r="A8" s="23" t="str">
        <f t="shared" si="1"/>
        <v>X</v>
      </c>
      <c r="B8" s="32">
        <v>5</v>
      </c>
      <c r="C8" s="42" t="s">
        <v>70</v>
      </c>
      <c r="D8" s="39" t="s">
        <v>71</v>
      </c>
      <c r="E8" s="39" t="s">
        <v>72</v>
      </c>
      <c r="F8" s="39" t="s">
        <v>51</v>
      </c>
      <c r="G8" s="40" t="s">
        <v>52</v>
      </c>
      <c r="H8" s="40">
        <v>30066</v>
      </c>
      <c r="I8" s="42" t="s">
        <v>73</v>
      </c>
      <c r="J8" s="43" t="s">
        <v>60</v>
      </c>
      <c r="K8" s="71">
        <v>177209</v>
      </c>
      <c r="L8" s="23"/>
      <c r="M8" s="45"/>
      <c r="N8" s="48" t="s">
        <v>40</v>
      </c>
      <c r="O8" s="46"/>
      <c r="P8" s="46"/>
      <c r="Q8" s="49" t="str">
        <f>VLOOKUP($A$3,$B$4:$K$104,3,FALSE)</f>
        <v>Carlton</v>
      </c>
      <c r="R8" s="50"/>
      <c r="S8" s="50"/>
      <c r="T8" s="50"/>
      <c r="U8" s="50"/>
      <c r="V8" s="51"/>
      <c r="W8" s="46"/>
      <c r="X8" s="52" t="s">
        <v>43</v>
      </c>
      <c r="Y8" s="46"/>
      <c r="Z8" s="49" t="str">
        <f>VLOOKUP($A$3,$B$4:$K$104,6,FALSE)</f>
        <v xml:space="preserve">GA </v>
      </c>
      <c r="AA8" s="50"/>
      <c r="AB8" s="50"/>
      <c r="AC8" s="50"/>
      <c r="AD8" s="50"/>
      <c r="AE8" s="51"/>
      <c r="AF8" s="47"/>
      <c r="AG8" s="23"/>
      <c r="AH8" s="23"/>
    </row>
    <row r="9" spans="1:34" x14ac:dyDescent="0.25">
      <c r="A9" s="23" t="str">
        <f t="shared" si="1"/>
        <v>X</v>
      </c>
      <c r="B9" s="32">
        <v>6</v>
      </c>
      <c r="C9" s="39" t="s">
        <v>74</v>
      </c>
      <c r="D9" s="39" t="s">
        <v>75</v>
      </c>
      <c r="E9" s="39" t="s">
        <v>76</v>
      </c>
      <c r="F9" s="39" t="s">
        <v>77</v>
      </c>
      <c r="G9" s="40" t="s">
        <v>52</v>
      </c>
      <c r="H9" s="40">
        <v>30092</v>
      </c>
      <c r="I9" s="42" t="s">
        <v>78</v>
      </c>
      <c r="J9" s="43" t="s">
        <v>65</v>
      </c>
      <c r="K9" s="71">
        <v>212254.23</v>
      </c>
      <c r="L9" s="23"/>
      <c r="M9" s="45"/>
      <c r="N9" s="46"/>
      <c r="O9" s="46"/>
      <c r="P9" s="46"/>
      <c r="Q9" s="46"/>
      <c r="R9" s="46"/>
      <c r="S9" s="46"/>
      <c r="T9" s="46"/>
      <c r="U9" s="46"/>
      <c r="V9" s="46"/>
      <c r="W9" s="46"/>
      <c r="X9" s="46"/>
      <c r="Y9" s="46"/>
      <c r="Z9" s="46"/>
      <c r="AA9" s="46"/>
      <c r="AB9" s="46"/>
      <c r="AC9" s="46"/>
      <c r="AD9" s="46"/>
      <c r="AE9" s="46"/>
      <c r="AF9" s="47"/>
      <c r="AG9" s="23"/>
      <c r="AH9" s="23"/>
    </row>
    <row r="10" spans="1:34" x14ac:dyDescent="0.25">
      <c r="A10" s="23" t="str">
        <f t="shared" si="1"/>
        <v>X</v>
      </c>
      <c r="B10" s="32">
        <v>7</v>
      </c>
      <c r="C10" s="39" t="s">
        <v>79</v>
      </c>
      <c r="D10" s="39" t="s">
        <v>80</v>
      </c>
      <c r="E10" s="39" t="s">
        <v>50</v>
      </c>
      <c r="F10" s="39" t="s">
        <v>81</v>
      </c>
      <c r="G10" s="40" t="s">
        <v>82</v>
      </c>
      <c r="H10" s="40">
        <v>30092</v>
      </c>
      <c r="I10" s="42" t="s">
        <v>53</v>
      </c>
      <c r="J10" s="43" t="s">
        <v>54</v>
      </c>
      <c r="K10" s="71">
        <v>124533.45</v>
      </c>
      <c r="L10" s="23"/>
      <c r="M10" s="45"/>
      <c r="N10" s="48" t="s">
        <v>41</v>
      </c>
      <c r="O10" s="46"/>
      <c r="P10" s="46"/>
      <c r="Q10" s="49" t="str">
        <f>VLOOKUP($A$3,$B$4:$K$104,4,FALSE)</f>
        <v>100 Peachtree Street</v>
      </c>
      <c r="R10" s="50"/>
      <c r="S10" s="50"/>
      <c r="T10" s="50"/>
      <c r="U10" s="50"/>
      <c r="V10" s="51"/>
      <c r="W10" s="46"/>
      <c r="X10" s="52" t="s">
        <v>44</v>
      </c>
      <c r="Y10" s="46"/>
      <c r="Z10" s="49" t="str">
        <f>TEXT(VLOOKUP($A$3,$B$4:$K$104,7,FALSE),0)</f>
        <v>30092</v>
      </c>
      <c r="AA10" s="50"/>
      <c r="AB10" s="50"/>
      <c r="AC10" s="50"/>
      <c r="AD10" s="50"/>
      <c r="AE10" s="51"/>
      <c r="AF10" s="47"/>
      <c r="AG10" s="23"/>
      <c r="AH10" s="23"/>
    </row>
    <row r="11" spans="1:34" x14ac:dyDescent="0.25">
      <c r="A11" s="23" t="str">
        <f t="shared" si="1"/>
        <v>Y</v>
      </c>
      <c r="B11" s="32">
        <v>8</v>
      </c>
      <c r="C11" s="39"/>
      <c r="D11" s="39"/>
      <c r="E11" s="39"/>
      <c r="F11" s="39"/>
      <c r="G11" s="39"/>
      <c r="H11" s="39"/>
      <c r="I11" s="39"/>
      <c r="J11" s="40"/>
      <c r="K11" s="39"/>
      <c r="L11" s="23"/>
      <c r="M11" s="45"/>
      <c r="N11" s="46"/>
      <c r="O11" s="46"/>
      <c r="P11" s="46"/>
      <c r="Q11" s="46"/>
      <c r="R11" s="46"/>
      <c r="S11" s="46"/>
      <c r="T11" s="46"/>
      <c r="U11" s="46"/>
      <c r="V11" s="46"/>
      <c r="W11" s="46"/>
      <c r="X11" s="46"/>
      <c r="Y11" s="46"/>
      <c r="Z11" s="46"/>
      <c r="AA11" s="46"/>
      <c r="AB11" s="46"/>
      <c r="AC11" s="46"/>
      <c r="AD11" s="46"/>
      <c r="AE11" s="46"/>
      <c r="AF11" s="47"/>
      <c r="AG11" s="23"/>
      <c r="AH11" s="23"/>
    </row>
    <row r="12" spans="1:34" x14ac:dyDescent="0.25">
      <c r="A12" s="23" t="str">
        <f t="shared" si="1"/>
        <v>Y</v>
      </c>
      <c r="B12" s="32">
        <v>9</v>
      </c>
      <c r="C12" s="39"/>
      <c r="D12" s="39"/>
      <c r="E12" s="39"/>
      <c r="F12" s="39"/>
      <c r="G12" s="39"/>
      <c r="H12" s="39"/>
      <c r="I12" s="39"/>
      <c r="J12" s="40"/>
      <c r="K12" s="39"/>
      <c r="L12" s="23"/>
      <c r="M12" s="45"/>
      <c r="N12" s="52" t="s">
        <v>45</v>
      </c>
      <c r="O12" s="46"/>
      <c r="P12" s="46"/>
      <c r="Q12" s="49" t="str">
        <f>VLOOKUP($A$3,$B$4:$K$104,8,FALSE)</f>
        <v>770.842.5902</v>
      </c>
      <c r="R12" s="50"/>
      <c r="S12" s="50"/>
      <c r="T12" s="50"/>
      <c r="U12" s="50"/>
      <c r="V12" s="51"/>
      <c r="W12" s="46"/>
      <c r="X12" s="60" t="s">
        <v>99</v>
      </c>
      <c r="Y12" s="46"/>
      <c r="Z12" s="49" t="str">
        <f>VLOOKUP($A$3,$B$4:$K$104,9,FALSE)</f>
        <v>Plan A</v>
      </c>
      <c r="AA12" s="50"/>
      <c r="AB12" s="50"/>
      <c r="AC12" s="50"/>
      <c r="AD12" s="50"/>
      <c r="AE12" s="51"/>
      <c r="AF12" s="47"/>
      <c r="AG12" s="23"/>
      <c r="AH12" s="23"/>
    </row>
    <row r="13" spans="1:34" x14ac:dyDescent="0.25">
      <c r="A13" s="23" t="str">
        <f t="shared" si="1"/>
        <v>Y</v>
      </c>
      <c r="B13" s="32">
        <v>10</v>
      </c>
      <c r="C13" s="39"/>
      <c r="D13" s="39"/>
      <c r="E13" s="39"/>
      <c r="F13" s="39"/>
      <c r="G13" s="39"/>
      <c r="H13" s="39"/>
      <c r="I13" s="39"/>
      <c r="J13" s="40"/>
      <c r="K13" s="39"/>
      <c r="L13" s="23"/>
      <c r="M13" s="45"/>
      <c r="N13" s="46"/>
      <c r="O13" s="46"/>
      <c r="P13" s="46"/>
      <c r="Q13" s="46"/>
      <c r="R13" s="46"/>
      <c r="S13" s="46"/>
      <c r="T13" s="46"/>
      <c r="U13" s="46"/>
      <c r="V13" s="46"/>
      <c r="W13" s="46"/>
      <c r="X13" s="46"/>
      <c r="Y13" s="46"/>
      <c r="Z13" s="46"/>
      <c r="AA13" s="46"/>
      <c r="AB13" s="46"/>
      <c r="AC13" s="46"/>
      <c r="AD13" s="46"/>
      <c r="AE13" s="46"/>
      <c r="AF13" s="47"/>
      <c r="AG13" s="23"/>
      <c r="AH13" s="23"/>
    </row>
    <row r="14" spans="1:34" x14ac:dyDescent="0.25">
      <c r="A14" s="23" t="str">
        <f t="shared" si="1"/>
        <v>Y</v>
      </c>
      <c r="B14" s="32">
        <v>11</v>
      </c>
      <c r="C14" s="39"/>
      <c r="D14" s="39"/>
      <c r="E14" s="39"/>
      <c r="F14" s="39"/>
      <c r="G14" s="39"/>
      <c r="H14" s="39"/>
      <c r="I14" s="39"/>
      <c r="J14" s="40"/>
      <c r="K14" s="39"/>
      <c r="L14" s="23"/>
      <c r="M14" s="45"/>
      <c r="N14" s="52" t="s">
        <v>90</v>
      </c>
      <c r="O14" s="46"/>
      <c r="P14" s="46"/>
      <c r="Q14" s="46"/>
      <c r="R14" s="46"/>
      <c r="S14" s="46"/>
      <c r="T14" s="46"/>
      <c r="U14" s="46"/>
      <c r="V14" s="46"/>
      <c r="W14" s="46"/>
      <c r="X14" s="46"/>
      <c r="Y14" s="46"/>
      <c r="Z14" s="49" t="str">
        <f>TEXT(VLOOKUP($A$3,$B$4:$K$104,10,FALSE),"$#,###.##")</f>
        <v>$124,533.45</v>
      </c>
      <c r="AA14" s="50"/>
      <c r="AB14" s="50"/>
      <c r="AC14" s="50"/>
      <c r="AD14" s="50"/>
      <c r="AE14" s="51"/>
      <c r="AF14" s="47"/>
      <c r="AG14" s="23"/>
      <c r="AH14" s="23"/>
    </row>
    <row r="15" spans="1:34" x14ac:dyDescent="0.25">
      <c r="A15" s="23" t="str">
        <f t="shared" si="1"/>
        <v>Y</v>
      </c>
      <c r="B15" s="32">
        <v>12</v>
      </c>
      <c r="C15" s="39"/>
      <c r="D15" s="39"/>
      <c r="E15" s="39"/>
      <c r="F15" s="39"/>
      <c r="G15" s="39"/>
      <c r="H15" s="39"/>
      <c r="I15" s="39"/>
      <c r="J15" s="40"/>
      <c r="K15" s="39"/>
      <c r="L15" s="23"/>
      <c r="M15" s="45"/>
      <c r="N15" s="46"/>
      <c r="O15" s="46"/>
      <c r="P15" s="46"/>
      <c r="Q15" s="46"/>
      <c r="R15" s="46"/>
      <c r="S15" s="46"/>
      <c r="T15" s="46"/>
      <c r="U15" s="46"/>
      <c r="V15" s="46"/>
      <c r="W15" s="46"/>
      <c r="X15" s="46"/>
      <c r="Y15" s="46"/>
      <c r="Z15" s="46"/>
      <c r="AA15" s="46"/>
      <c r="AB15" s="46"/>
      <c r="AC15" s="46"/>
      <c r="AD15" s="46"/>
      <c r="AE15" s="46"/>
      <c r="AF15" s="47"/>
      <c r="AG15" s="23"/>
      <c r="AH15" s="23"/>
    </row>
    <row r="16" spans="1:34" x14ac:dyDescent="0.25">
      <c r="A16" s="23" t="str">
        <f t="shared" si="1"/>
        <v>Y</v>
      </c>
      <c r="B16" s="32">
        <v>13</v>
      </c>
      <c r="C16" s="39"/>
      <c r="D16" s="39"/>
      <c r="E16" s="39"/>
      <c r="F16" s="39"/>
      <c r="G16" s="39"/>
      <c r="H16" s="39"/>
      <c r="I16" s="39"/>
      <c r="J16" s="40"/>
      <c r="K16" s="39"/>
      <c r="L16" s="23"/>
      <c r="M16" s="303" t="s">
        <v>91</v>
      </c>
      <c r="N16" s="304"/>
      <c r="O16" s="304"/>
      <c r="P16" s="304"/>
      <c r="Q16" s="304"/>
      <c r="R16" s="304"/>
      <c r="S16" s="304"/>
      <c r="T16" s="304"/>
      <c r="U16" s="304"/>
      <c r="V16" s="304"/>
      <c r="W16" s="304"/>
      <c r="X16" s="304"/>
      <c r="Y16" s="304"/>
      <c r="Z16" s="304"/>
      <c r="AA16" s="304"/>
      <c r="AB16" s="304"/>
      <c r="AC16" s="304"/>
      <c r="AD16" s="304"/>
      <c r="AE16" s="304"/>
      <c r="AF16" s="305"/>
      <c r="AG16" s="23"/>
      <c r="AH16" s="23"/>
    </row>
    <row r="17" spans="1:34" ht="16.5" thickBot="1" x14ac:dyDescent="0.3">
      <c r="A17" s="23" t="str">
        <f t="shared" si="1"/>
        <v>Y</v>
      </c>
      <c r="B17" s="32">
        <v>14</v>
      </c>
      <c r="C17" s="39"/>
      <c r="D17" s="39"/>
      <c r="E17" s="39"/>
      <c r="F17" s="39"/>
      <c r="G17" s="39"/>
      <c r="H17" s="39"/>
      <c r="I17" s="39"/>
      <c r="J17" s="40"/>
      <c r="K17" s="39"/>
      <c r="L17" s="23"/>
      <c r="M17" s="61"/>
      <c r="N17" s="62"/>
      <c r="O17" s="62"/>
      <c r="P17" s="62"/>
      <c r="Q17" s="62"/>
      <c r="R17" s="62"/>
      <c r="S17" s="62"/>
      <c r="T17" s="62"/>
      <c r="U17" s="62"/>
      <c r="V17" s="62"/>
      <c r="W17" s="62"/>
      <c r="X17" s="62"/>
      <c r="Y17" s="62"/>
      <c r="Z17" s="62"/>
      <c r="AA17" s="62"/>
      <c r="AB17" s="62"/>
      <c r="AC17" s="62"/>
      <c r="AD17" s="62"/>
      <c r="AE17" s="62"/>
      <c r="AF17" s="63"/>
      <c r="AG17" s="23"/>
      <c r="AH17" s="23"/>
    </row>
    <row r="18" spans="1:34" x14ac:dyDescent="0.25">
      <c r="A18" s="23" t="str">
        <f t="shared" si="1"/>
        <v>Y</v>
      </c>
      <c r="B18" s="32">
        <v>15</v>
      </c>
      <c r="C18" s="39"/>
      <c r="D18" s="39"/>
      <c r="E18" s="39"/>
      <c r="F18" s="39"/>
      <c r="G18" s="39"/>
      <c r="H18" s="39"/>
      <c r="I18" s="39"/>
      <c r="J18" s="40"/>
      <c r="K18" s="39"/>
      <c r="L18" s="23"/>
      <c r="M18" s="23"/>
      <c r="N18" s="23"/>
      <c r="O18" s="23"/>
      <c r="P18" s="23"/>
      <c r="Q18" s="23"/>
      <c r="R18" s="23"/>
      <c r="S18" s="23"/>
      <c r="T18" s="23"/>
      <c r="U18" s="23"/>
      <c r="V18" s="23"/>
      <c r="W18" s="23"/>
      <c r="X18" s="23"/>
      <c r="Y18" s="23"/>
      <c r="Z18" s="23"/>
      <c r="AA18" s="23"/>
      <c r="AB18" s="23"/>
      <c r="AC18" s="23"/>
      <c r="AD18" s="23"/>
      <c r="AE18" s="23"/>
      <c r="AF18" s="23"/>
      <c r="AG18" s="23"/>
      <c r="AH18" s="23"/>
    </row>
    <row r="19" spans="1:34" x14ac:dyDescent="0.25">
      <c r="A19" s="23" t="str">
        <f t="shared" si="1"/>
        <v>Y</v>
      </c>
      <c r="B19" s="32">
        <v>16</v>
      </c>
      <c r="C19" s="39"/>
      <c r="D19" s="39"/>
      <c r="E19" s="39"/>
      <c r="F19" s="39"/>
      <c r="G19" s="39"/>
      <c r="H19" s="39"/>
      <c r="I19" s="39"/>
      <c r="J19" s="40"/>
      <c r="K19" s="39"/>
      <c r="L19" s="23"/>
      <c r="M19" s="23"/>
      <c r="N19" s="23"/>
      <c r="O19" s="23"/>
      <c r="P19" s="23"/>
      <c r="Q19" s="23"/>
      <c r="R19" s="23"/>
      <c r="S19" s="23"/>
      <c r="T19" s="23"/>
      <c r="U19" s="23"/>
      <c r="V19" s="23"/>
      <c r="W19" s="23"/>
      <c r="X19" s="23"/>
      <c r="Y19" s="23"/>
      <c r="Z19" s="23"/>
      <c r="AA19" s="23"/>
      <c r="AB19" s="23"/>
      <c r="AC19" s="23"/>
      <c r="AD19" s="23"/>
      <c r="AE19" s="23"/>
      <c r="AF19" s="23"/>
      <c r="AG19" s="23"/>
      <c r="AH19" s="23"/>
    </row>
    <row r="20" spans="1:34" x14ac:dyDescent="0.25">
      <c r="A20" s="23" t="str">
        <f t="shared" si="1"/>
        <v>Y</v>
      </c>
      <c r="B20" s="32">
        <v>17</v>
      </c>
      <c r="C20" s="39"/>
      <c r="D20" s="39"/>
      <c r="E20" s="39"/>
      <c r="F20" s="39"/>
      <c r="G20" s="39"/>
      <c r="H20" s="39"/>
      <c r="I20" s="39"/>
      <c r="J20" s="40"/>
      <c r="K20" s="39"/>
      <c r="L20" s="23"/>
      <c r="M20" s="23"/>
      <c r="N20" s="23"/>
      <c r="O20" s="23"/>
      <c r="P20" s="23"/>
      <c r="Q20" s="23"/>
      <c r="R20" s="23"/>
      <c r="S20" s="23"/>
      <c r="T20" s="23"/>
      <c r="U20" s="23"/>
      <c r="V20" s="23"/>
      <c r="W20" s="23"/>
      <c r="X20" s="23"/>
      <c r="Y20" s="23"/>
      <c r="Z20" s="23"/>
      <c r="AA20" s="23"/>
      <c r="AB20" s="23"/>
      <c r="AC20" s="23"/>
      <c r="AD20" s="23"/>
      <c r="AE20" s="23"/>
      <c r="AF20" s="23"/>
      <c r="AG20" s="23"/>
      <c r="AH20" s="23"/>
    </row>
    <row r="21" spans="1:34" x14ac:dyDescent="0.25">
      <c r="A21" s="23" t="str">
        <f t="shared" si="1"/>
        <v>Y</v>
      </c>
      <c r="B21" s="32">
        <v>18</v>
      </c>
      <c r="C21" s="39"/>
      <c r="D21" s="39"/>
      <c r="E21" s="39"/>
      <c r="F21" s="39"/>
      <c r="G21" s="39"/>
      <c r="H21" s="39"/>
      <c r="I21" s="39"/>
      <c r="J21" s="40"/>
      <c r="K21" s="39"/>
      <c r="L21" s="23"/>
      <c r="M21" s="23"/>
      <c r="N21" s="23"/>
      <c r="O21" s="23"/>
      <c r="P21" s="23"/>
      <c r="Q21" s="23"/>
      <c r="R21" s="23"/>
      <c r="S21" s="23"/>
      <c r="T21" s="23"/>
      <c r="U21" s="23"/>
      <c r="V21" s="23"/>
      <c r="W21" s="23"/>
      <c r="X21" s="23"/>
      <c r="Y21" s="23"/>
      <c r="Z21" s="23"/>
      <c r="AA21" s="23"/>
      <c r="AB21" s="23"/>
      <c r="AC21" s="23"/>
      <c r="AD21" s="23"/>
      <c r="AE21" s="23"/>
      <c r="AF21" s="23"/>
      <c r="AG21" s="23"/>
      <c r="AH21" s="23"/>
    </row>
    <row r="22" spans="1:34" x14ac:dyDescent="0.25">
      <c r="A22" s="23" t="str">
        <f t="shared" si="1"/>
        <v>Y</v>
      </c>
      <c r="B22" s="32">
        <v>19</v>
      </c>
      <c r="C22" s="39"/>
      <c r="D22" s="39"/>
      <c r="E22" s="39"/>
      <c r="F22" s="39"/>
      <c r="G22" s="39"/>
      <c r="H22" s="39"/>
      <c r="I22" s="39"/>
      <c r="J22" s="40"/>
      <c r="K22" s="39"/>
      <c r="L22" s="23"/>
      <c r="M22" s="23"/>
      <c r="N22" s="23"/>
      <c r="O22" s="23"/>
      <c r="P22" s="23"/>
      <c r="Q22" s="23"/>
      <c r="R22" s="23"/>
      <c r="S22" s="23"/>
      <c r="T22" s="23"/>
      <c r="U22" s="23"/>
      <c r="V22" s="23"/>
      <c r="W22" s="23"/>
      <c r="X22" s="23"/>
      <c r="Y22" s="23"/>
      <c r="Z22" s="23"/>
      <c r="AA22" s="23"/>
      <c r="AB22" s="23"/>
      <c r="AC22" s="23"/>
      <c r="AD22" s="23"/>
      <c r="AE22" s="23"/>
      <c r="AF22" s="23"/>
      <c r="AG22" s="23"/>
      <c r="AH22" s="23"/>
    </row>
    <row r="23" spans="1:34" x14ac:dyDescent="0.25">
      <c r="A23" s="23" t="str">
        <f t="shared" si="1"/>
        <v>Y</v>
      </c>
      <c r="B23" s="32">
        <v>20</v>
      </c>
      <c r="C23" s="39"/>
      <c r="D23" s="39"/>
      <c r="E23" s="39"/>
      <c r="F23" s="39"/>
      <c r="G23" s="39"/>
      <c r="H23" s="39"/>
      <c r="I23" s="39"/>
      <c r="J23" s="40"/>
      <c r="K23" s="39"/>
      <c r="L23" s="23"/>
      <c r="M23" s="23"/>
      <c r="N23" s="23"/>
      <c r="O23" s="23"/>
      <c r="P23" s="23"/>
      <c r="Q23" s="23"/>
      <c r="R23" s="23"/>
      <c r="S23" s="23"/>
      <c r="T23" s="23"/>
      <c r="U23" s="23"/>
      <c r="V23" s="23"/>
      <c r="W23" s="23"/>
      <c r="X23" s="23"/>
      <c r="Y23" s="23"/>
      <c r="Z23" s="23"/>
      <c r="AA23" s="23"/>
      <c r="AB23" s="23"/>
      <c r="AC23" s="23"/>
      <c r="AD23" s="23"/>
      <c r="AE23" s="23"/>
      <c r="AF23" s="23"/>
      <c r="AG23" s="23"/>
      <c r="AH23" s="23"/>
    </row>
    <row r="24" spans="1:34" x14ac:dyDescent="0.25">
      <c r="A24" s="23" t="str">
        <f t="shared" si="1"/>
        <v>Y</v>
      </c>
      <c r="B24" s="32">
        <v>21</v>
      </c>
      <c r="C24" s="39"/>
      <c r="D24" s="39"/>
      <c r="E24" s="39"/>
      <c r="F24" s="39"/>
      <c r="G24" s="39"/>
      <c r="H24" s="39"/>
      <c r="I24" s="39"/>
      <c r="J24" s="40"/>
      <c r="K24" s="39"/>
      <c r="L24" s="23"/>
      <c r="M24" s="23"/>
      <c r="N24" s="23"/>
      <c r="O24" s="23"/>
      <c r="P24" s="23"/>
      <c r="Q24" s="23"/>
      <c r="R24" s="23"/>
      <c r="S24" s="23"/>
      <c r="T24" s="23"/>
      <c r="U24" s="23"/>
      <c r="V24" s="23"/>
      <c r="W24" s="23"/>
      <c r="X24" s="23"/>
      <c r="Y24" s="23"/>
      <c r="Z24" s="23"/>
      <c r="AA24" s="23"/>
      <c r="AB24" s="23"/>
      <c r="AC24" s="23"/>
      <c r="AD24" s="23"/>
      <c r="AE24" s="23"/>
      <c r="AF24" s="23"/>
      <c r="AG24" s="23"/>
      <c r="AH24" s="23"/>
    </row>
    <row r="25" spans="1:34" x14ac:dyDescent="0.25">
      <c r="A25" s="23" t="str">
        <f t="shared" si="1"/>
        <v>Y</v>
      </c>
      <c r="B25" s="32">
        <v>22</v>
      </c>
      <c r="C25" s="39"/>
      <c r="D25" s="39"/>
      <c r="E25" s="39"/>
      <c r="F25" s="39"/>
      <c r="G25" s="39"/>
      <c r="H25" s="39"/>
      <c r="I25" s="39"/>
      <c r="J25" s="40"/>
      <c r="K25" s="39"/>
      <c r="L25" s="23"/>
      <c r="M25" s="23"/>
      <c r="N25" s="23"/>
      <c r="O25" s="23"/>
      <c r="P25" s="23"/>
      <c r="Q25" s="23"/>
      <c r="R25" s="23"/>
      <c r="S25" s="23"/>
      <c r="T25" s="23"/>
      <c r="U25" s="23"/>
      <c r="V25" s="23"/>
      <c r="W25" s="23"/>
      <c r="X25" s="23"/>
      <c r="Y25" s="23"/>
      <c r="Z25" s="23"/>
      <c r="AA25" s="23"/>
      <c r="AB25" s="23"/>
      <c r="AC25" s="23"/>
      <c r="AD25" s="23"/>
      <c r="AE25" s="23"/>
      <c r="AF25" s="23"/>
      <c r="AG25" s="23"/>
      <c r="AH25" s="23"/>
    </row>
    <row r="26" spans="1:34" x14ac:dyDescent="0.25">
      <c r="A26" s="23" t="str">
        <f t="shared" si="1"/>
        <v>Y</v>
      </c>
      <c r="B26" s="32">
        <v>23</v>
      </c>
      <c r="C26" s="39"/>
      <c r="D26" s="39"/>
      <c r="E26" s="39"/>
      <c r="F26" s="39"/>
      <c r="G26" s="39"/>
      <c r="H26" s="39"/>
      <c r="I26" s="39"/>
      <c r="J26" s="40"/>
      <c r="K26" s="39"/>
      <c r="L26" s="23"/>
      <c r="M26" s="23"/>
      <c r="N26" s="23"/>
      <c r="O26" s="23"/>
      <c r="P26" s="23"/>
      <c r="Q26" s="23"/>
      <c r="R26" s="23"/>
      <c r="S26" s="23"/>
      <c r="T26" s="23"/>
      <c r="U26" s="23"/>
      <c r="V26" s="23"/>
      <c r="W26" s="23"/>
      <c r="X26" s="23"/>
      <c r="Y26" s="23"/>
      <c r="Z26" s="23"/>
      <c r="AA26" s="23"/>
      <c r="AB26" s="23"/>
      <c r="AC26" s="23"/>
      <c r="AD26" s="23"/>
      <c r="AE26" s="23"/>
      <c r="AF26" s="23"/>
      <c r="AG26" s="23"/>
      <c r="AH26" s="23"/>
    </row>
    <row r="27" spans="1:34" x14ac:dyDescent="0.25">
      <c r="A27" s="23" t="str">
        <f t="shared" si="1"/>
        <v>Y</v>
      </c>
      <c r="B27" s="32">
        <v>24</v>
      </c>
      <c r="C27" s="39"/>
      <c r="D27" s="39"/>
      <c r="E27" s="39"/>
      <c r="F27" s="39"/>
      <c r="G27" s="39"/>
      <c r="H27" s="39"/>
      <c r="I27" s="39"/>
      <c r="J27" s="40"/>
      <c r="K27" s="39"/>
      <c r="L27" s="23"/>
      <c r="M27" s="23"/>
      <c r="N27" s="23"/>
      <c r="O27" s="23"/>
      <c r="P27" s="23"/>
      <c r="Q27" s="23"/>
      <c r="R27" s="23"/>
      <c r="S27" s="23"/>
      <c r="T27" s="23"/>
      <c r="U27" s="23"/>
      <c r="V27" s="23"/>
      <c r="W27" s="23"/>
      <c r="X27" s="23"/>
      <c r="Y27" s="23"/>
      <c r="Z27" s="23"/>
      <c r="AA27" s="23"/>
      <c r="AB27" s="23"/>
      <c r="AC27" s="23"/>
      <c r="AD27" s="23"/>
      <c r="AE27" s="23"/>
      <c r="AF27" s="23"/>
      <c r="AG27" s="23"/>
      <c r="AH27" s="23"/>
    </row>
  </sheetData>
  <mergeCells count="2">
    <mergeCell ref="M4:AF4"/>
    <mergeCell ref="M16:AF16"/>
  </mergeCells>
  <pageMargins left="0.7" right="0.7" top="0.75" bottom="0.75" header="0.3" footer="0.3"/>
  <drawing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dimension ref="A1:AF27"/>
  <sheetViews>
    <sheetView showGridLines="0" workbookViewId="0">
      <selection activeCell="Q1" sqref="Q1"/>
    </sheetView>
  </sheetViews>
  <sheetFormatPr defaultRowHeight="15.75" x14ac:dyDescent="0.25"/>
  <cols>
    <col min="1" max="1" width="7.875" bestFit="1" customWidth="1"/>
    <col min="2" max="3" width="10" bestFit="1" customWidth="1"/>
    <col min="4" max="4" width="19" bestFit="1" customWidth="1"/>
    <col min="5" max="5" width="8.375" bestFit="1" customWidth="1"/>
    <col min="6" max="6" width="5.375" bestFit="1" customWidth="1"/>
    <col min="7" max="7" width="5.875" bestFit="1" customWidth="1"/>
    <col min="8" max="8" width="11.875" bestFit="1" customWidth="1"/>
    <col min="9" max="9" width="11.875" customWidth="1"/>
    <col min="10" max="10" width="12.125" bestFit="1" customWidth="1"/>
    <col min="11" max="11" width="3.75" customWidth="1"/>
    <col min="12" max="31" width="3.625" customWidth="1"/>
    <col min="32" max="32" width="3" customWidth="1"/>
  </cols>
  <sheetData>
    <row r="1" spans="1:32" x14ac:dyDescent="0.25">
      <c r="A1" s="16"/>
      <c r="B1" s="16"/>
      <c r="C1" s="16"/>
      <c r="D1" s="16"/>
      <c r="E1" s="16"/>
      <c r="F1" s="16"/>
      <c r="G1" s="16"/>
      <c r="H1" s="16"/>
      <c r="I1" s="16"/>
      <c r="J1" s="16"/>
      <c r="K1" s="16"/>
      <c r="L1" s="16"/>
      <c r="M1" s="16"/>
      <c r="N1" s="16"/>
      <c r="O1" s="16"/>
      <c r="P1" s="16"/>
      <c r="Q1" s="16"/>
      <c r="R1" s="16"/>
      <c r="S1" s="17" t="str">
        <f t="shared" ref="S1:AB1" si="0">VLOOKUP(MAX($A$3:$A$53),$A$3:$H$53,2)</f>
        <v>Newman</v>
      </c>
      <c r="T1" s="17" t="str">
        <f t="shared" si="0"/>
        <v>Newman</v>
      </c>
      <c r="U1" s="17" t="str">
        <f t="shared" si="0"/>
        <v>Newman</v>
      </c>
      <c r="V1" s="17" t="str">
        <f t="shared" si="0"/>
        <v>Newman</v>
      </c>
      <c r="W1" s="17" t="str">
        <f t="shared" si="0"/>
        <v>Newman</v>
      </c>
      <c r="X1" s="17" t="str">
        <f t="shared" si="0"/>
        <v>Newman</v>
      </c>
      <c r="Y1" s="17" t="str">
        <f t="shared" si="0"/>
        <v>Newman</v>
      </c>
      <c r="Z1" s="17" t="str">
        <f t="shared" si="0"/>
        <v>Newman</v>
      </c>
      <c r="AA1" s="17" t="str">
        <f t="shared" si="0"/>
        <v>Newman</v>
      </c>
      <c r="AB1" s="17" t="str">
        <f t="shared" si="0"/>
        <v>Newman</v>
      </c>
      <c r="AC1" s="18"/>
      <c r="AD1" s="18"/>
      <c r="AE1" s="18"/>
      <c r="AF1" s="18"/>
    </row>
    <row r="2" spans="1:32" ht="16.5" thickBot="1" x14ac:dyDescent="0.3">
      <c r="A2" s="73"/>
      <c r="B2" s="20"/>
      <c r="C2" s="20"/>
      <c r="D2" s="20"/>
      <c r="E2" s="20"/>
      <c r="F2" s="20"/>
      <c r="G2" s="20"/>
      <c r="H2" s="20"/>
      <c r="I2" s="22"/>
      <c r="J2" s="20"/>
      <c r="K2" s="23"/>
      <c r="L2" s="23"/>
      <c r="M2" s="23"/>
      <c r="N2" s="23"/>
      <c r="O2" s="23"/>
      <c r="P2" s="23"/>
      <c r="Q2" s="23"/>
      <c r="R2" s="23"/>
      <c r="S2" s="23"/>
      <c r="T2" s="23"/>
      <c r="U2" s="23"/>
      <c r="V2" s="23"/>
      <c r="W2" s="23"/>
      <c r="X2" s="23"/>
      <c r="Y2" s="23"/>
      <c r="Z2" s="23"/>
      <c r="AA2" s="23"/>
      <c r="AB2" s="23"/>
      <c r="AC2" s="23"/>
      <c r="AD2" s="23"/>
      <c r="AE2" s="23"/>
      <c r="AF2" s="23"/>
    </row>
    <row r="3" spans="1:32" x14ac:dyDescent="0.25">
      <c r="A3" s="26" t="s">
        <v>38</v>
      </c>
      <c r="B3" s="25" t="s">
        <v>39</v>
      </c>
      <c r="C3" s="25" t="s">
        <v>40</v>
      </c>
      <c r="D3" s="25" t="s">
        <v>41</v>
      </c>
      <c r="E3" s="26" t="s">
        <v>42</v>
      </c>
      <c r="F3" s="26" t="s">
        <v>43</v>
      </c>
      <c r="G3" s="26" t="s">
        <v>44</v>
      </c>
      <c r="H3" s="26" t="s">
        <v>45</v>
      </c>
      <c r="I3" s="26" t="s">
        <v>46</v>
      </c>
      <c r="J3" s="28" t="s">
        <v>47</v>
      </c>
      <c r="K3" s="23"/>
      <c r="L3" s="29"/>
      <c r="M3" s="30"/>
      <c r="N3" s="30"/>
      <c r="O3" s="30"/>
      <c r="P3" s="30"/>
      <c r="Q3" s="30"/>
      <c r="R3" s="30"/>
      <c r="S3" s="30"/>
      <c r="T3" s="30"/>
      <c r="U3" s="30"/>
      <c r="V3" s="30"/>
      <c r="W3" s="30"/>
      <c r="X3" s="30"/>
      <c r="Y3" s="30"/>
      <c r="Z3" s="30"/>
      <c r="AA3" s="30"/>
      <c r="AB3" s="30"/>
      <c r="AC3" s="30"/>
      <c r="AD3" s="30"/>
      <c r="AE3" s="31"/>
      <c r="AF3" s="23"/>
    </row>
    <row r="4" spans="1:32" x14ac:dyDescent="0.25">
      <c r="A4" s="32">
        <v>1</v>
      </c>
      <c r="B4" s="33" t="s">
        <v>48</v>
      </c>
      <c r="C4" s="34" t="s">
        <v>49</v>
      </c>
      <c r="D4" s="34" t="s">
        <v>50</v>
      </c>
      <c r="E4" s="34" t="s">
        <v>51</v>
      </c>
      <c r="F4" s="35" t="s">
        <v>52</v>
      </c>
      <c r="G4" s="35">
        <v>30062</v>
      </c>
      <c r="H4" s="33" t="s">
        <v>53</v>
      </c>
      <c r="I4" s="37" t="s">
        <v>54</v>
      </c>
      <c r="J4" s="38">
        <v>157665</v>
      </c>
      <c r="K4" s="23"/>
      <c r="L4" s="300" t="s">
        <v>55</v>
      </c>
      <c r="M4" s="301"/>
      <c r="N4" s="301"/>
      <c r="O4" s="301"/>
      <c r="P4" s="301"/>
      <c r="Q4" s="301"/>
      <c r="R4" s="301"/>
      <c r="S4" s="301"/>
      <c r="T4" s="301"/>
      <c r="U4" s="301"/>
      <c r="V4" s="301"/>
      <c r="W4" s="301"/>
      <c r="X4" s="301"/>
      <c r="Y4" s="301"/>
      <c r="Z4" s="301"/>
      <c r="AA4" s="301"/>
      <c r="AB4" s="301"/>
      <c r="AC4" s="301"/>
      <c r="AD4" s="301"/>
      <c r="AE4" s="302"/>
      <c r="AF4" s="23"/>
    </row>
    <row r="5" spans="1:32" x14ac:dyDescent="0.25">
      <c r="A5" s="32">
        <v>2</v>
      </c>
      <c r="B5" s="39" t="s">
        <v>56</v>
      </c>
      <c r="C5" s="39" t="s">
        <v>57</v>
      </c>
      <c r="D5" s="39" t="s">
        <v>58</v>
      </c>
      <c r="E5" s="39" t="s">
        <v>51</v>
      </c>
      <c r="F5" s="40" t="s">
        <v>52</v>
      </c>
      <c r="G5" s="40">
        <v>30063</v>
      </c>
      <c r="H5" s="42" t="s">
        <v>59</v>
      </c>
      <c r="I5" s="43" t="s">
        <v>60</v>
      </c>
      <c r="J5" s="44">
        <v>156340</v>
      </c>
      <c r="K5" s="23"/>
      <c r="L5" s="45"/>
      <c r="M5" s="46"/>
      <c r="N5" s="46"/>
      <c r="O5" s="46"/>
      <c r="P5" s="46"/>
      <c r="Q5" s="46"/>
      <c r="R5" s="46"/>
      <c r="S5" s="46"/>
      <c r="T5" s="46"/>
      <c r="U5" s="46"/>
      <c r="V5" s="46"/>
      <c r="W5" s="46"/>
      <c r="X5" s="46"/>
      <c r="Y5" s="46"/>
      <c r="Z5" s="46"/>
      <c r="AA5" s="46"/>
      <c r="AB5" s="46"/>
      <c r="AC5" s="46"/>
      <c r="AD5" s="46"/>
      <c r="AE5" s="47"/>
      <c r="AF5" s="23"/>
    </row>
    <row r="6" spans="1:32" x14ac:dyDescent="0.25">
      <c r="A6" s="32">
        <v>3</v>
      </c>
      <c r="B6" s="39" t="s">
        <v>61</v>
      </c>
      <c r="C6" s="42" t="s">
        <v>62</v>
      </c>
      <c r="D6" s="39" t="s">
        <v>63</v>
      </c>
      <c r="E6" s="39" t="s">
        <v>51</v>
      </c>
      <c r="F6" s="40" t="s">
        <v>52</v>
      </c>
      <c r="G6" s="40">
        <v>30064</v>
      </c>
      <c r="H6" s="42" t="s">
        <v>64</v>
      </c>
      <c r="I6" s="43" t="s">
        <v>65</v>
      </c>
      <c r="J6" s="44">
        <v>81480</v>
      </c>
      <c r="K6" s="23"/>
      <c r="L6" s="45"/>
      <c r="M6" s="48" t="s">
        <v>39</v>
      </c>
      <c r="N6" s="46"/>
      <c r="O6" s="46"/>
      <c r="P6" s="49" t="str">
        <f>VLOOKUP(MAX(A:A),Data_table[],COLUMN(Data_table[[#Headers],[Last Name]]))</f>
        <v>Newman</v>
      </c>
      <c r="Q6" s="50"/>
      <c r="R6" s="50"/>
      <c r="S6" s="50"/>
      <c r="T6" s="50"/>
      <c r="U6" s="51"/>
      <c r="V6" s="46"/>
      <c r="W6" s="52" t="s">
        <v>42</v>
      </c>
      <c r="X6" s="46"/>
      <c r="Y6" s="49" t="str">
        <f>VLOOKUP(MAX(J:J),Data_table[],COLUMN(Data_table[[#Headers],[City]]))</f>
        <v>Anytown</v>
      </c>
      <c r="Z6" s="50"/>
      <c r="AA6" s="50"/>
      <c r="AB6" s="50"/>
      <c r="AC6" s="50"/>
      <c r="AD6" s="51"/>
      <c r="AE6" s="47"/>
      <c r="AF6" s="23"/>
    </row>
    <row r="7" spans="1:32" x14ac:dyDescent="0.25">
      <c r="A7" s="32">
        <v>4</v>
      </c>
      <c r="B7" s="39" t="s">
        <v>66</v>
      </c>
      <c r="C7" s="42" t="s">
        <v>67</v>
      </c>
      <c r="D7" s="39" t="s">
        <v>68</v>
      </c>
      <c r="E7" s="39" t="s">
        <v>51</v>
      </c>
      <c r="F7" s="40" t="s">
        <v>52</v>
      </c>
      <c r="G7" s="40">
        <v>30065</v>
      </c>
      <c r="H7" s="42" t="s">
        <v>69</v>
      </c>
      <c r="I7" s="43" t="s">
        <v>54</v>
      </c>
      <c r="J7" s="44">
        <v>202578</v>
      </c>
      <c r="K7" s="23"/>
      <c r="L7" s="45"/>
      <c r="M7" s="46"/>
      <c r="N7" s="46"/>
      <c r="O7" s="46"/>
      <c r="P7" s="46"/>
      <c r="Q7" s="46"/>
      <c r="R7" s="46"/>
      <c r="S7" s="46"/>
      <c r="T7" s="46"/>
      <c r="U7" s="46"/>
      <c r="V7" s="46"/>
      <c r="W7" s="46"/>
      <c r="X7" s="46"/>
      <c r="Y7" s="46"/>
      <c r="Z7" s="46"/>
      <c r="AA7" s="46"/>
      <c r="AB7" s="46"/>
      <c r="AC7" s="46"/>
      <c r="AD7" s="46"/>
      <c r="AE7" s="47"/>
      <c r="AF7" s="23"/>
    </row>
    <row r="8" spans="1:32" x14ac:dyDescent="0.25">
      <c r="A8" s="32">
        <v>5</v>
      </c>
      <c r="B8" s="42" t="s">
        <v>70</v>
      </c>
      <c r="C8" s="39" t="s">
        <v>71</v>
      </c>
      <c r="D8" s="39" t="s">
        <v>72</v>
      </c>
      <c r="E8" s="39" t="s">
        <v>51</v>
      </c>
      <c r="F8" s="40" t="s">
        <v>52</v>
      </c>
      <c r="G8" s="40">
        <v>30066</v>
      </c>
      <c r="H8" s="42" t="s">
        <v>73</v>
      </c>
      <c r="I8" s="43" t="s">
        <v>60</v>
      </c>
      <c r="J8" s="44">
        <v>177209</v>
      </c>
      <c r="K8" s="23"/>
      <c r="L8" s="45"/>
      <c r="M8" s="48" t="s">
        <v>40</v>
      </c>
      <c r="N8" s="46"/>
      <c r="O8" s="46"/>
      <c r="P8" s="49" t="str">
        <f>VLOOKUP(MAX(A:A),Data_table[],COLUMN(Data_table[[#Headers],[First Name]]))</f>
        <v>Jill</v>
      </c>
      <c r="Q8" s="50"/>
      <c r="R8" s="50"/>
      <c r="S8" s="50"/>
      <c r="T8" s="50"/>
      <c r="U8" s="51"/>
      <c r="V8" s="46"/>
      <c r="W8" s="52" t="s">
        <v>43</v>
      </c>
      <c r="X8" s="46"/>
      <c r="Y8" s="49" t="str">
        <f>VLOOKUP(MAX(J:J),Data_table[],COLUMN(Data_table[[#Headers],[State]]))</f>
        <v>Utah</v>
      </c>
      <c r="Z8" s="50"/>
      <c r="AA8" s="50"/>
      <c r="AB8" s="50"/>
      <c r="AC8" s="50"/>
      <c r="AD8" s="51"/>
      <c r="AE8" s="47"/>
      <c r="AF8" s="23"/>
    </row>
    <row r="9" spans="1:32" x14ac:dyDescent="0.25">
      <c r="A9" s="32">
        <v>6</v>
      </c>
      <c r="B9" s="39" t="s">
        <v>74</v>
      </c>
      <c r="C9" s="39" t="s">
        <v>75</v>
      </c>
      <c r="D9" s="39" t="s">
        <v>76</v>
      </c>
      <c r="E9" s="39" t="s">
        <v>77</v>
      </c>
      <c r="F9" s="40" t="s">
        <v>52</v>
      </c>
      <c r="G9" s="40">
        <v>30092</v>
      </c>
      <c r="H9" s="42" t="s">
        <v>78</v>
      </c>
      <c r="I9" s="43" t="s">
        <v>65</v>
      </c>
      <c r="J9" s="44">
        <v>212254.23</v>
      </c>
      <c r="K9" s="23"/>
      <c r="L9" s="45"/>
      <c r="M9" s="46"/>
      <c r="N9" s="46"/>
      <c r="O9" s="46"/>
      <c r="P9" s="46"/>
      <c r="Q9" s="46"/>
      <c r="R9" s="46"/>
      <c r="S9" s="46"/>
      <c r="T9" s="46"/>
      <c r="U9" s="46"/>
      <c r="V9" s="46"/>
      <c r="W9" s="46"/>
      <c r="X9" s="46"/>
      <c r="Y9" s="46"/>
      <c r="Z9" s="46"/>
      <c r="AA9" s="46"/>
      <c r="AB9" s="46"/>
      <c r="AC9" s="46"/>
      <c r="AD9" s="46"/>
      <c r="AE9" s="47"/>
      <c r="AF9" s="23"/>
    </row>
    <row r="10" spans="1:32" x14ac:dyDescent="0.25">
      <c r="A10" s="32">
        <v>7</v>
      </c>
      <c r="B10" s="39" t="s">
        <v>79</v>
      </c>
      <c r="C10" s="39" t="s">
        <v>80</v>
      </c>
      <c r="D10" s="39" t="s">
        <v>50</v>
      </c>
      <c r="E10" s="39" t="s">
        <v>81</v>
      </c>
      <c r="F10" s="40" t="s">
        <v>82</v>
      </c>
      <c r="G10" s="40">
        <v>30092</v>
      </c>
      <c r="H10" s="42" t="s">
        <v>53</v>
      </c>
      <c r="I10" s="43" t="s">
        <v>54</v>
      </c>
      <c r="J10" s="44">
        <v>124533.45</v>
      </c>
      <c r="K10" s="23"/>
      <c r="L10" s="45"/>
      <c r="M10" s="48" t="s">
        <v>41</v>
      </c>
      <c r="N10" s="46"/>
      <c r="O10" s="46"/>
      <c r="P10" s="49" t="str">
        <f>VLOOKUP(MAX(A:A),Data_table[],COLUMN(Data_table[[#Headers],[Address]]))</f>
        <v>1600 Penslyvania</v>
      </c>
      <c r="Q10" s="50"/>
      <c r="R10" s="50"/>
      <c r="S10" s="50"/>
      <c r="T10" s="50"/>
      <c r="U10" s="51"/>
      <c r="V10" s="46"/>
      <c r="W10" s="52" t="s">
        <v>44</v>
      </c>
      <c r="X10" s="46"/>
      <c r="Y10" s="306">
        <f>VLOOKUP(MAX(J:J),Data_table[],COLUMN(Data_table[[#Headers],[Zip]]))</f>
        <v>84310</v>
      </c>
      <c r="Z10" s="314"/>
      <c r="AA10" s="314"/>
      <c r="AB10" s="314"/>
      <c r="AC10" s="314"/>
      <c r="AD10" s="315"/>
      <c r="AE10" s="47"/>
      <c r="AF10" s="23"/>
    </row>
    <row r="11" spans="1:32" x14ac:dyDescent="0.25">
      <c r="A11" s="32">
        <v>8</v>
      </c>
      <c r="B11" s="53" t="s">
        <v>393</v>
      </c>
      <c r="C11" s="53" t="s">
        <v>394</v>
      </c>
      <c r="D11" s="53" t="s">
        <v>395</v>
      </c>
      <c r="E11" s="53" t="s">
        <v>343</v>
      </c>
      <c r="F11" s="54" t="s">
        <v>396</v>
      </c>
      <c r="G11" s="54">
        <v>84310</v>
      </c>
      <c r="H11" s="56" t="s">
        <v>397</v>
      </c>
      <c r="I11" s="54" t="s">
        <v>65</v>
      </c>
      <c r="J11" s="57">
        <v>621456.23</v>
      </c>
      <c r="K11" s="23"/>
      <c r="L11" s="45"/>
      <c r="M11" s="46"/>
      <c r="N11" s="46"/>
      <c r="O11" s="46"/>
      <c r="P11" s="46"/>
      <c r="Q11" s="46"/>
      <c r="R11" s="46"/>
      <c r="S11" s="46"/>
      <c r="T11" s="46"/>
      <c r="U11" s="46"/>
      <c r="V11" s="46"/>
      <c r="W11" s="46"/>
      <c r="X11" s="46"/>
      <c r="Y11" s="46"/>
      <c r="Z11" s="46"/>
      <c r="AA11" s="46"/>
      <c r="AB11" s="46"/>
      <c r="AC11" s="46"/>
      <c r="AD11" s="46"/>
      <c r="AE11" s="47"/>
      <c r="AF11" s="23"/>
    </row>
    <row r="12" spans="1:32" x14ac:dyDescent="0.25">
      <c r="A12" s="32">
        <v>9</v>
      </c>
      <c r="B12" s="53" t="s">
        <v>393</v>
      </c>
      <c r="C12" s="53" t="s">
        <v>398</v>
      </c>
      <c r="D12" s="53" t="s">
        <v>395</v>
      </c>
      <c r="E12" s="53" t="s">
        <v>343</v>
      </c>
      <c r="F12" s="54" t="s">
        <v>396</v>
      </c>
      <c r="G12" s="54">
        <v>84310</v>
      </c>
      <c r="H12" s="56" t="s">
        <v>397</v>
      </c>
      <c r="I12" s="54" t="s">
        <v>60</v>
      </c>
      <c r="J12" s="57">
        <v>753159.64</v>
      </c>
      <c r="K12" s="23"/>
      <c r="L12" s="45"/>
      <c r="M12" s="52" t="s">
        <v>45</v>
      </c>
      <c r="N12" s="46"/>
      <c r="O12" s="46"/>
      <c r="P12" s="49" t="str">
        <f>VLOOKUP(MAX(A:A),Data_table[],COLUMN(Data_table[[#Headers],[Phone]]))</f>
        <v>415.666.7777</v>
      </c>
      <c r="Q12" s="50"/>
      <c r="R12" s="50"/>
      <c r="S12" s="50"/>
      <c r="T12" s="50"/>
      <c r="U12" s="51"/>
      <c r="V12" s="46"/>
      <c r="W12" s="60" t="s">
        <v>99</v>
      </c>
      <c r="X12" s="46"/>
      <c r="Y12" s="49" t="str">
        <f>VLOOKUP(MAX(J:J),Data_table[],COLUMN(Data_table[[#Headers],[Pension Plan]]))</f>
        <v>Plan B</v>
      </c>
      <c r="Z12" s="50"/>
      <c r="AA12" s="50"/>
      <c r="AB12" s="50"/>
      <c r="AC12" s="50"/>
      <c r="AD12" s="51"/>
      <c r="AE12" s="47"/>
      <c r="AF12" s="23"/>
    </row>
    <row r="13" spans="1:32" x14ac:dyDescent="0.25">
      <c r="A13" s="73"/>
      <c r="B13" s="20"/>
      <c r="C13" s="20"/>
      <c r="D13" s="20"/>
      <c r="E13" s="20"/>
      <c r="F13" s="20"/>
      <c r="G13" s="20"/>
      <c r="H13" s="20"/>
      <c r="I13" s="22"/>
      <c r="J13" s="20"/>
      <c r="K13" s="23"/>
      <c r="L13" s="45"/>
      <c r="M13" s="46"/>
      <c r="N13" s="46"/>
      <c r="O13" s="46"/>
      <c r="P13" s="46"/>
      <c r="Q13" s="46"/>
      <c r="R13" s="46"/>
      <c r="S13" s="46"/>
      <c r="T13" s="46"/>
      <c r="U13" s="46"/>
      <c r="V13" s="46"/>
      <c r="W13" s="46"/>
      <c r="X13" s="46"/>
      <c r="Y13" s="46"/>
      <c r="Z13" s="46"/>
      <c r="AA13" s="46"/>
      <c r="AB13" s="46"/>
      <c r="AC13" s="46"/>
      <c r="AD13" s="46"/>
      <c r="AE13" s="47"/>
      <c r="AF13" s="23"/>
    </row>
    <row r="14" spans="1:32" x14ac:dyDescent="0.25">
      <c r="A14" s="73"/>
      <c r="B14" s="20"/>
      <c r="C14" s="20"/>
      <c r="D14" s="20"/>
      <c r="E14" s="20"/>
      <c r="F14" s="20"/>
      <c r="G14" s="20"/>
      <c r="H14" s="20"/>
      <c r="I14" s="22"/>
      <c r="J14" s="20"/>
      <c r="K14" s="23"/>
      <c r="L14" s="45"/>
      <c r="M14" s="52" t="s">
        <v>90</v>
      </c>
      <c r="N14" s="46"/>
      <c r="O14" s="46"/>
      <c r="P14" s="46"/>
      <c r="Q14" s="46"/>
      <c r="R14" s="46"/>
      <c r="S14" s="46"/>
      <c r="T14" s="46"/>
      <c r="U14" s="46"/>
      <c r="V14" s="46"/>
      <c r="W14" s="46"/>
      <c r="X14" s="46"/>
      <c r="Y14" s="410">
        <f>VLOOKUP(MAX(J:J),Data_table[],COLUMN(Data_table[[#Headers],[Balance]]))</f>
        <v>753159.64</v>
      </c>
      <c r="Z14" s="411"/>
      <c r="AA14" s="411"/>
      <c r="AB14" s="411"/>
      <c r="AC14" s="411"/>
      <c r="AD14" s="412"/>
      <c r="AE14" s="47"/>
      <c r="AF14" s="23"/>
    </row>
    <row r="15" spans="1:32" x14ac:dyDescent="0.25">
      <c r="A15" s="73"/>
      <c r="B15" s="20"/>
      <c r="C15" s="20"/>
      <c r="D15" s="20"/>
      <c r="E15" s="20"/>
      <c r="F15" s="20"/>
      <c r="G15" s="20"/>
      <c r="H15" s="20"/>
      <c r="I15" s="22"/>
      <c r="J15" s="20"/>
      <c r="K15" s="23"/>
      <c r="L15" s="45"/>
      <c r="M15" s="46"/>
      <c r="N15" s="46"/>
      <c r="O15" s="46"/>
      <c r="P15" s="46"/>
      <c r="Q15" s="46"/>
      <c r="R15" s="46"/>
      <c r="S15" s="46"/>
      <c r="T15" s="46"/>
      <c r="U15" s="46"/>
      <c r="V15" s="46"/>
      <c r="W15" s="46"/>
      <c r="X15" s="46"/>
      <c r="Y15" s="46"/>
      <c r="Z15" s="46"/>
      <c r="AA15" s="46"/>
      <c r="AB15" s="46"/>
      <c r="AC15" s="46"/>
      <c r="AD15" s="46"/>
      <c r="AE15" s="47"/>
      <c r="AF15" s="23"/>
    </row>
    <row r="16" spans="1:32" x14ac:dyDescent="0.25">
      <c r="A16" s="73"/>
      <c r="B16" s="20"/>
      <c r="C16" s="20"/>
      <c r="D16" s="20"/>
      <c r="E16" s="20"/>
      <c r="F16" s="20"/>
      <c r="G16" s="20"/>
      <c r="H16" s="20"/>
      <c r="I16" s="22"/>
      <c r="J16" s="20"/>
      <c r="K16" s="23"/>
      <c r="L16" s="303" t="s">
        <v>91</v>
      </c>
      <c r="M16" s="304"/>
      <c r="N16" s="304"/>
      <c r="O16" s="304"/>
      <c r="P16" s="304"/>
      <c r="Q16" s="304"/>
      <c r="R16" s="304"/>
      <c r="S16" s="304"/>
      <c r="T16" s="304"/>
      <c r="U16" s="304"/>
      <c r="V16" s="304"/>
      <c r="W16" s="304"/>
      <c r="X16" s="304"/>
      <c r="Y16" s="304"/>
      <c r="Z16" s="304"/>
      <c r="AA16" s="304"/>
      <c r="AB16" s="304"/>
      <c r="AC16" s="304"/>
      <c r="AD16" s="304"/>
      <c r="AE16" s="305"/>
      <c r="AF16" s="23"/>
    </row>
    <row r="17" spans="1:32" ht="16.5" thickBot="1" x14ac:dyDescent="0.3">
      <c r="A17" s="73"/>
      <c r="B17" s="20"/>
      <c r="C17" s="20"/>
      <c r="D17" s="20"/>
      <c r="E17" s="20"/>
      <c r="F17" s="20"/>
      <c r="G17" s="20"/>
      <c r="H17" s="20"/>
      <c r="I17" s="22"/>
      <c r="J17" s="20"/>
      <c r="K17" s="23"/>
      <c r="L17" s="61"/>
      <c r="M17" s="62"/>
      <c r="N17" s="62"/>
      <c r="O17" s="62"/>
      <c r="P17" s="62"/>
      <c r="Q17" s="62"/>
      <c r="R17" s="62"/>
      <c r="S17" s="62"/>
      <c r="T17" s="62"/>
      <c r="U17" s="62"/>
      <c r="V17" s="62"/>
      <c r="W17" s="62"/>
      <c r="X17" s="62"/>
      <c r="Y17" s="62"/>
      <c r="Z17" s="62"/>
      <c r="AA17" s="62"/>
      <c r="AB17" s="62"/>
      <c r="AC17" s="62"/>
      <c r="AD17" s="62"/>
      <c r="AE17" s="63"/>
      <c r="AF17" s="23"/>
    </row>
    <row r="18" spans="1:32" x14ac:dyDescent="0.25">
      <c r="A18" s="73"/>
      <c r="B18" s="20"/>
      <c r="C18" s="20"/>
      <c r="D18" s="20"/>
      <c r="E18" s="20"/>
      <c r="F18" s="20"/>
      <c r="G18" s="20"/>
      <c r="H18" s="20"/>
      <c r="I18" s="22"/>
      <c r="J18" s="20"/>
      <c r="K18" s="23"/>
      <c r="L18" s="23"/>
      <c r="M18" s="23"/>
      <c r="N18" s="23"/>
      <c r="O18" s="23"/>
      <c r="P18" s="23"/>
      <c r="Q18" s="23"/>
      <c r="R18" s="23"/>
      <c r="S18" s="23"/>
      <c r="T18" s="23"/>
      <c r="U18" s="23"/>
      <c r="V18" s="23"/>
      <c r="W18" s="23"/>
      <c r="X18" s="23"/>
      <c r="Y18" s="23"/>
      <c r="Z18" s="23"/>
      <c r="AA18" s="23"/>
      <c r="AB18" s="23"/>
      <c r="AC18" s="23"/>
      <c r="AD18" s="23"/>
      <c r="AE18" s="23"/>
      <c r="AF18" s="23"/>
    </row>
    <row r="19" spans="1:32" x14ac:dyDescent="0.25">
      <c r="A19" s="73"/>
      <c r="B19" s="20"/>
      <c r="C19" s="20"/>
      <c r="D19" s="20"/>
      <c r="E19" s="20"/>
      <c r="F19" s="20"/>
      <c r="G19" s="20"/>
      <c r="H19" s="20"/>
      <c r="I19" s="22"/>
      <c r="J19" s="20"/>
      <c r="K19" s="23"/>
      <c r="L19" s="23"/>
      <c r="M19" s="23"/>
      <c r="N19" s="23"/>
      <c r="O19" s="23"/>
      <c r="P19" s="23"/>
      <c r="Q19" s="23"/>
      <c r="R19" s="23"/>
      <c r="S19" s="23"/>
      <c r="T19" s="23"/>
      <c r="U19" s="23"/>
      <c r="V19" s="23"/>
      <c r="W19" s="23"/>
      <c r="X19" s="23"/>
      <c r="Y19" s="23"/>
      <c r="Z19" s="23"/>
      <c r="AA19" s="23"/>
      <c r="AB19" s="23"/>
      <c r="AC19" s="23"/>
      <c r="AD19" s="23"/>
      <c r="AE19" s="23"/>
      <c r="AF19" s="23"/>
    </row>
    <row r="20" spans="1:32" x14ac:dyDescent="0.25">
      <c r="A20" s="73"/>
      <c r="B20" s="20"/>
      <c r="C20" s="20"/>
      <c r="D20" s="20"/>
      <c r="E20" s="20"/>
      <c r="F20" s="20"/>
      <c r="G20" s="20"/>
      <c r="H20" s="20"/>
      <c r="I20" s="22"/>
      <c r="J20" s="20"/>
      <c r="K20" s="23"/>
      <c r="L20" s="23"/>
      <c r="M20" s="23"/>
      <c r="N20" s="23"/>
      <c r="O20" s="23"/>
      <c r="P20" s="23"/>
      <c r="Q20" s="23"/>
      <c r="R20" s="23"/>
      <c r="S20" s="23"/>
      <c r="T20" s="23"/>
      <c r="U20" s="23"/>
      <c r="V20" s="23"/>
      <c r="W20" s="23"/>
      <c r="X20" s="23"/>
      <c r="Y20" s="23"/>
      <c r="Z20" s="23"/>
      <c r="AA20" s="23"/>
      <c r="AB20" s="23"/>
      <c r="AC20" s="23"/>
      <c r="AD20" s="23"/>
      <c r="AE20" s="23"/>
      <c r="AF20" s="23"/>
    </row>
    <row r="21" spans="1:32" x14ac:dyDescent="0.25">
      <c r="A21" s="73"/>
      <c r="B21" s="20"/>
      <c r="C21" s="20"/>
      <c r="D21" s="20"/>
      <c r="E21" s="20"/>
      <c r="F21" s="20"/>
      <c r="G21" s="20"/>
      <c r="H21" s="20"/>
      <c r="I21" s="22"/>
      <c r="J21" s="20"/>
      <c r="K21" s="23"/>
      <c r="L21" s="23"/>
      <c r="M21" s="23"/>
      <c r="N21" s="23"/>
      <c r="O21" s="23"/>
      <c r="P21" s="23"/>
      <c r="Q21" s="23"/>
      <c r="R21" s="23"/>
      <c r="S21" s="23"/>
      <c r="T21" s="23"/>
      <c r="U21" s="23"/>
      <c r="V21" s="23"/>
      <c r="W21" s="23"/>
      <c r="X21" s="23"/>
      <c r="Y21" s="23"/>
      <c r="Z21" s="23"/>
      <c r="AA21" s="23"/>
      <c r="AB21" s="23"/>
      <c r="AC21" s="23"/>
      <c r="AD21" s="23"/>
      <c r="AE21" s="23"/>
      <c r="AF21" s="23"/>
    </row>
    <row r="22" spans="1:32" x14ac:dyDescent="0.25">
      <c r="A22" s="73"/>
      <c r="B22" s="20"/>
      <c r="C22" s="20"/>
      <c r="D22" s="20"/>
      <c r="E22" s="20"/>
      <c r="F22" s="20"/>
      <c r="G22" s="20"/>
      <c r="H22" s="20"/>
      <c r="I22" s="22"/>
      <c r="J22" s="20"/>
      <c r="K22" s="23"/>
      <c r="L22" s="23"/>
      <c r="M22" s="23"/>
      <c r="N22" s="23"/>
      <c r="O22" s="23"/>
      <c r="P22" s="23"/>
      <c r="Q22" s="23"/>
      <c r="R22" s="23"/>
      <c r="S22" s="23"/>
      <c r="T22" s="23"/>
      <c r="U22" s="23"/>
      <c r="V22" s="23"/>
      <c r="W22" s="23"/>
      <c r="X22" s="23"/>
      <c r="Y22" s="23"/>
      <c r="Z22" s="23"/>
      <c r="AA22" s="23"/>
      <c r="AB22" s="23"/>
      <c r="AC22" s="23"/>
      <c r="AD22" s="23"/>
      <c r="AE22" s="23"/>
      <c r="AF22" s="23"/>
    </row>
    <row r="23" spans="1:32" x14ac:dyDescent="0.25">
      <c r="A23" s="73"/>
      <c r="B23" s="20"/>
      <c r="C23" s="20"/>
      <c r="D23" s="20"/>
      <c r="E23" s="20"/>
      <c r="F23" s="20"/>
      <c r="G23" s="20"/>
      <c r="H23" s="20"/>
      <c r="I23" s="22"/>
      <c r="J23" s="20"/>
      <c r="K23" s="23"/>
      <c r="L23" s="23"/>
      <c r="M23" s="23"/>
      <c r="N23" s="23"/>
      <c r="O23" s="23"/>
      <c r="P23" s="23"/>
      <c r="Q23" s="23"/>
      <c r="R23" s="23"/>
      <c r="S23" s="23"/>
      <c r="T23" s="23"/>
      <c r="U23" s="23"/>
      <c r="V23" s="23"/>
      <c r="W23" s="23"/>
      <c r="X23" s="23"/>
      <c r="Y23" s="23"/>
      <c r="Z23" s="23"/>
      <c r="AA23" s="23"/>
      <c r="AB23" s="23"/>
      <c r="AC23" s="23"/>
      <c r="AD23" s="23"/>
      <c r="AE23" s="23"/>
      <c r="AF23" s="23"/>
    </row>
    <row r="24" spans="1:32" x14ac:dyDescent="0.25">
      <c r="A24" s="73"/>
      <c r="B24" s="20"/>
      <c r="C24" s="20"/>
      <c r="D24" s="20"/>
      <c r="E24" s="20"/>
      <c r="F24" s="20"/>
      <c r="G24" s="20"/>
      <c r="H24" s="20"/>
      <c r="I24" s="22"/>
      <c r="J24" s="20"/>
      <c r="K24" s="23"/>
      <c r="L24" s="23"/>
      <c r="M24" s="23"/>
      <c r="N24" s="23"/>
      <c r="O24" s="23"/>
      <c r="P24" s="23"/>
      <c r="Q24" s="23"/>
      <c r="R24" s="23"/>
      <c r="S24" s="23"/>
      <c r="T24" s="23"/>
      <c r="U24" s="23"/>
      <c r="V24" s="23"/>
      <c r="W24" s="23"/>
      <c r="X24" s="23"/>
      <c r="Y24" s="23"/>
      <c r="Z24" s="23"/>
      <c r="AA24" s="23"/>
      <c r="AB24" s="23"/>
      <c r="AC24" s="23"/>
      <c r="AD24" s="23"/>
      <c r="AE24" s="23"/>
      <c r="AF24" s="23"/>
    </row>
    <row r="25" spans="1:32" x14ac:dyDescent="0.25">
      <c r="A25" s="73"/>
      <c r="B25" s="20"/>
      <c r="C25" s="20"/>
      <c r="D25" s="20"/>
      <c r="E25" s="20"/>
      <c r="F25" s="20"/>
      <c r="G25" s="20"/>
      <c r="H25" s="20"/>
      <c r="I25" s="22"/>
      <c r="J25" s="20"/>
      <c r="K25" s="23"/>
      <c r="L25" s="23"/>
      <c r="M25" s="23"/>
      <c r="N25" s="23"/>
      <c r="O25" s="23"/>
      <c r="P25" s="23"/>
      <c r="Q25" s="23"/>
      <c r="R25" s="23"/>
      <c r="S25" s="23"/>
      <c r="T25" s="23"/>
      <c r="U25" s="23"/>
      <c r="V25" s="23"/>
      <c r="W25" s="23"/>
      <c r="X25" s="23"/>
      <c r="Y25" s="23"/>
      <c r="Z25" s="23"/>
      <c r="AA25" s="23"/>
      <c r="AB25" s="23"/>
      <c r="AC25" s="23"/>
      <c r="AD25" s="23"/>
      <c r="AE25" s="23"/>
      <c r="AF25" s="23"/>
    </row>
    <row r="26" spans="1:32" x14ac:dyDescent="0.25">
      <c r="A26" s="73"/>
      <c r="B26" s="20"/>
      <c r="C26" s="20"/>
      <c r="D26" s="20"/>
      <c r="E26" s="20"/>
      <c r="F26" s="20"/>
      <c r="G26" s="20"/>
      <c r="H26" s="20"/>
      <c r="I26" s="22"/>
      <c r="J26" s="20"/>
      <c r="K26" s="23"/>
      <c r="L26" s="23"/>
      <c r="M26" s="23"/>
      <c r="N26" s="23"/>
      <c r="O26" s="23"/>
      <c r="P26" s="23"/>
      <c r="Q26" s="23"/>
      <c r="R26" s="23"/>
      <c r="S26" s="23"/>
      <c r="T26" s="23"/>
      <c r="U26" s="23"/>
      <c r="V26" s="23"/>
      <c r="W26" s="23"/>
      <c r="X26" s="23"/>
      <c r="Y26" s="23"/>
      <c r="Z26" s="23"/>
      <c r="AA26" s="23"/>
      <c r="AB26" s="23"/>
      <c r="AC26" s="23"/>
      <c r="AD26" s="23"/>
      <c r="AE26" s="23"/>
      <c r="AF26" s="23"/>
    </row>
    <row r="27" spans="1:32" x14ac:dyDescent="0.25">
      <c r="A27" s="73"/>
      <c r="B27" s="20"/>
      <c r="C27" s="20"/>
      <c r="D27" s="20"/>
      <c r="E27" s="20"/>
      <c r="F27" s="20"/>
      <c r="G27" s="20"/>
      <c r="H27" s="20"/>
      <c r="I27" s="22"/>
      <c r="J27" s="20"/>
      <c r="K27" s="23"/>
      <c r="L27" s="23"/>
      <c r="M27" s="23"/>
      <c r="N27" s="23"/>
      <c r="O27" s="23"/>
      <c r="P27" s="23"/>
      <c r="Q27" s="23"/>
      <c r="R27" s="23"/>
      <c r="S27" s="23"/>
      <c r="T27" s="23"/>
      <c r="U27" s="23"/>
      <c r="V27" s="23"/>
      <c r="W27" s="23"/>
      <c r="X27" s="23"/>
      <c r="Y27" s="23"/>
      <c r="Z27" s="23"/>
      <c r="AA27" s="23"/>
      <c r="AB27" s="23"/>
      <c r="AC27" s="23"/>
      <c r="AD27" s="23"/>
      <c r="AE27" s="23"/>
      <c r="AF27" s="23"/>
    </row>
  </sheetData>
  <mergeCells count="4">
    <mergeCell ref="L4:AE4"/>
    <mergeCell ref="Y10:AD10"/>
    <mergeCell ref="Y14:AD14"/>
    <mergeCell ref="L16:AE16"/>
  </mergeCells>
  <pageMargins left="0.7" right="0.7" top="0.75" bottom="0.75" header="0.3" footer="0.3"/>
  <drawing r:id="rId1"/>
  <tableParts count="1">
    <tablePart r:id="rId2"/>
  </tablePart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dimension ref="A1:AF29"/>
  <sheetViews>
    <sheetView showGridLines="0" workbookViewId="0">
      <selection activeCell="Q1" sqref="Q1"/>
    </sheetView>
  </sheetViews>
  <sheetFormatPr defaultRowHeight="15.75" x14ac:dyDescent="0.25"/>
  <cols>
    <col min="1" max="1" width="7.875" bestFit="1" customWidth="1"/>
    <col min="2" max="3" width="10" bestFit="1" customWidth="1"/>
    <col min="4" max="4" width="19" bestFit="1" customWidth="1"/>
    <col min="5" max="5" width="8.375" bestFit="1" customWidth="1"/>
    <col min="6" max="6" width="5.375" bestFit="1" customWidth="1"/>
    <col min="7" max="7" width="5.875" bestFit="1" customWidth="1"/>
    <col min="8" max="8" width="11.875" bestFit="1" customWidth="1"/>
    <col min="9" max="9" width="11.875" customWidth="1"/>
    <col min="10" max="10" width="12.125" bestFit="1" customWidth="1"/>
    <col min="11" max="11" width="3.75" customWidth="1"/>
    <col min="12" max="31" width="3.625" customWidth="1"/>
    <col min="32" max="32" width="3" customWidth="1"/>
  </cols>
  <sheetData>
    <row r="1" spans="1:32" x14ac:dyDescent="0.25">
      <c r="A1" s="16"/>
      <c r="B1" s="16"/>
      <c r="C1" s="16"/>
      <c r="D1" s="16"/>
      <c r="E1" s="16"/>
      <c r="F1" s="16"/>
      <c r="G1" s="16"/>
      <c r="H1" s="16"/>
      <c r="I1" s="16"/>
      <c r="J1" s="16"/>
      <c r="K1" s="16"/>
      <c r="L1" s="16"/>
      <c r="M1" s="16"/>
      <c r="N1" s="16"/>
      <c r="O1" s="16"/>
      <c r="P1" s="16"/>
      <c r="Q1" s="16"/>
      <c r="R1" s="16"/>
      <c r="S1" s="17">
        <f t="shared" ref="S1:AB1" si="0">VLOOKUP(MAX($A$3:$A$147),$A$3:$H$147,2)</f>
        <v>0</v>
      </c>
      <c r="T1" s="17">
        <f t="shared" si="0"/>
        <v>0</v>
      </c>
      <c r="U1" s="17">
        <f t="shared" si="0"/>
        <v>0</v>
      </c>
      <c r="V1" s="17">
        <f t="shared" si="0"/>
        <v>0</v>
      </c>
      <c r="W1" s="17">
        <f t="shared" si="0"/>
        <v>0</v>
      </c>
      <c r="X1" s="17">
        <f t="shared" si="0"/>
        <v>0</v>
      </c>
      <c r="Y1" s="17">
        <f t="shared" si="0"/>
        <v>0</v>
      </c>
      <c r="Z1" s="17">
        <f t="shared" si="0"/>
        <v>0</v>
      </c>
      <c r="AA1" s="17">
        <f t="shared" si="0"/>
        <v>0</v>
      </c>
      <c r="AB1" s="17">
        <f t="shared" si="0"/>
        <v>0</v>
      </c>
      <c r="AC1" s="18"/>
      <c r="AD1" s="18"/>
      <c r="AE1" s="18"/>
      <c r="AF1" s="18"/>
    </row>
    <row r="2" spans="1:32" ht="16.5" thickBot="1" x14ac:dyDescent="0.3">
      <c r="A2" s="73"/>
      <c r="B2" s="20"/>
      <c r="C2" s="20"/>
      <c r="D2" s="20"/>
      <c r="E2" s="20"/>
      <c r="F2" s="20"/>
      <c r="G2" s="20"/>
      <c r="H2" s="20"/>
      <c r="I2" s="22"/>
      <c r="J2" s="20"/>
      <c r="K2" s="23"/>
      <c r="L2" s="23"/>
      <c r="M2" s="23"/>
      <c r="N2" s="23"/>
      <c r="O2" s="23"/>
      <c r="P2" s="23"/>
      <c r="Q2" s="23"/>
      <c r="R2" s="23"/>
      <c r="S2" s="23"/>
      <c r="T2" s="23"/>
      <c r="U2" s="23"/>
      <c r="V2" s="23"/>
      <c r="W2" s="23"/>
      <c r="X2" s="23"/>
      <c r="Y2" s="23"/>
      <c r="Z2" s="23"/>
      <c r="AA2" s="23"/>
      <c r="AB2" s="23"/>
      <c r="AC2" s="23"/>
      <c r="AD2" s="23"/>
      <c r="AE2" s="23"/>
      <c r="AF2" s="23"/>
    </row>
    <row r="3" spans="1:32" x14ac:dyDescent="0.25">
      <c r="A3" s="68" t="s">
        <v>38</v>
      </c>
      <c r="B3" s="69" t="s">
        <v>39</v>
      </c>
      <c r="C3" s="69" t="s">
        <v>40</v>
      </c>
      <c r="D3" s="69" t="s">
        <v>41</v>
      </c>
      <c r="E3" s="68" t="s">
        <v>42</v>
      </c>
      <c r="F3" s="68" t="s">
        <v>43</v>
      </c>
      <c r="G3" s="68" t="s">
        <v>44</v>
      </c>
      <c r="H3" s="68" t="s">
        <v>45</v>
      </c>
      <c r="I3" s="68" t="s">
        <v>46</v>
      </c>
      <c r="J3" s="68" t="s">
        <v>47</v>
      </c>
      <c r="K3" s="23"/>
      <c r="L3" s="29"/>
      <c r="M3" s="30"/>
      <c r="N3" s="30"/>
      <c r="O3" s="30"/>
      <c r="P3" s="30"/>
      <c r="Q3" s="30"/>
      <c r="R3" s="30"/>
      <c r="S3" s="30"/>
      <c r="T3" s="30"/>
      <c r="U3" s="30"/>
      <c r="V3" s="30"/>
      <c r="W3" s="30"/>
      <c r="X3" s="30"/>
      <c r="Y3" s="30"/>
      <c r="Z3" s="30"/>
      <c r="AA3" s="30"/>
      <c r="AB3" s="30"/>
      <c r="AC3" s="30"/>
      <c r="AD3" s="30"/>
      <c r="AE3" s="31"/>
      <c r="AF3" s="23"/>
    </row>
    <row r="4" spans="1:32" x14ac:dyDescent="0.25">
      <c r="A4" s="32">
        <v>1</v>
      </c>
      <c r="B4" s="33" t="s">
        <v>48</v>
      </c>
      <c r="C4" s="34" t="s">
        <v>49</v>
      </c>
      <c r="D4" s="34" t="s">
        <v>50</v>
      </c>
      <c r="E4" s="34" t="s">
        <v>51</v>
      </c>
      <c r="F4" s="35" t="s">
        <v>52</v>
      </c>
      <c r="G4" s="35">
        <v>30062</v>
      </c>
      <c r="H4" s="33" t="s">
        <v>53</v>
      </c>
      <c r="I4" s="37" t="s">
        <v>54</v>
      </c>
      <c r="J4" s="70">
        <v>157665</v>
      </c>
      <c r="K4" s="23"/>
      <c r="L4" s="300" t="s">
        <v>55</v>
      </c>
      <c r="M4" s="301"/>
      <c r="N4" s="301"/>
      <c r="O4" s="301"/>
      <c r="P4" s="301"/>
      <c r="Q4" s="301"/>
      <c r="R4" s="301"/>
      <c r="S4" s="301"/>
      <c r="T4" s="301"/>
      <c r="U4" s="301"/>
      <c r="V4" s="301"/>
      <c r="W4" s="301"/>
      <c r="X4" s="301"/>
      <c r="Y4" s="301"/>
      <c r="Z4" s="301"/>
      <c r="AA4" s="301"/>
      <c r="AB4" s="301"/>
      <c r="AC4" s="301"/>
      <c r="AD4" s="301"/>
      <c r="AE4" s="302"/>
      <c r="AF4" s="23"/>
    </row>
    <row r="5" spans="1:32" x14ac:dyDescent="0.25">
      <c r="A5" s="32">
        <v>2</v>
      </c>
      <c r="B5" s="39" t="s">
        <v>56</v>
      </c>
      <c r="C5" s="39" t="s">
        <v>57</v>
      </c>
      <c r="D5" s="39" t="s">
        <v>58</v>
      </c>
      <c r="E5" s="39" t="s">
        <v>51</v>
      </c>
      <c r="F5" s="40" t="s">
        <v>52</v>
      </c>
      <c r="G5" s="40">
        <v>30063</v>
      </c>
      <c r="H5" s="42" t="s">
        <v>59</v>
      </c>
      <c r="I5" s="43" t="s">
        <v>60</v>
      </c>
      <c r="J5" s="70">
        <v>156340</v>
      </c>
      <c r="K5" s="23"/>
      <c r="L5" s="45"/>
      <c r="M5" s="46"/>
      <c r="N5" s="46"/>
      <c r="O5" s="46"/>
      <c r="P5" s="46"/>
      <c r="Q5" s="46"/>
      <c r="R5" s="46"/>
      <c r="S5" s="46"/>
      <c r="T5" s="46"/>
      <c r="U5" s="46"/>
      <c r="V5" s="46"/>
      <c r="W5" s="46"/>
      <c r="X5" s="46"/>
      <c r="Y5" s="46"/>
      <c r="Z5" s="46"/>
      <c r="AA5" s="46"/>
      <c r="AB5" s="46"/>
      <c r="AC5" s="46"/>
      <c r="AD5" s="46"/>
      <c r="AE5" s="47"/>
      <c r="AF5" s="23"/>
    </row>
    <row r="6" spans="1:32" x14ac:dyDescent="0.25">
      <c r="A6" s="32">
        <v>3</v>
      </c>
      <c r="B6" s="39" t="s">
        <v>61</v>
      </c>
      <c r="C6" s="42" t="s">
        <v>62</v>
      </c>
      <c r="D6" s="39" t="s">
        <v>63</v>
      </c>
      <c r="E6" s="39" t="s">
        <v>51</v>
      </c>
      <c r="F6" s="40" t="s">
        <v>52</v>
      </c>
      <c r="G6" s="40">
        <v>30064</v>
      </c>
      <c r="H6" s="42" t="s">
        <v>64</v>
      </c>
      <c r="I6" s="43" t="s">
        <v>65</v>
      </c>
      <c r="J6" s="70">
        <v>81480</v>
      </c>
      <c r="K6" s="23"/>
      <c r="L6" s="45"/>
      <c r="M6" s="48" t="s">
        <v>39</v>
      </c>
      <c r="N6" s="46"/>
      <c r="O6" s="46"/>
      <c r="P6" s="415" t="str">
        <f ca="1">INDIRECT("B" &amp; COUNTA(B:B)+2)</f>
        <v>Collins</v>
      </c>
      <c r="Q6" s="416"/>
      <c r="R6" s="416"/>
      <c r="S6" s="416"/>
      <c r="T6" s="416"/>
      <c r="U6" s="417"/>
      <c r="V6" s="46"/>
      <c r="W6" s="52" t="s">
        <v>42</v>
      </c>
      <c r="X6" s="46"/>
      <c r="Y6" s="49" t="str">
        <f ca="1">INDIRECT("E" &amp; COUNTA(B:B)+2)</f>
        <v>Norcross</v>
      </c>
      <c r="Z6" s="50"/>
      <c r="AA6" s="50"/>
      <c r="AB6" s="50"/>
      <c r="AC6" s="50"/>
      <c r="AD6" s="51"/>
      <c r="AE6" s="47"/>
      <c r="AF6" s="23"/>
    </row>
    <row r="7" spans="1:32" x14ac:dyDescent="0.25">
      <c r="A7" s="32">
        <v>4</v>
      </c>
      <c r="B7" s="39" t="s">
        <v>66</v>
      </c>
      <c r="C7" s="42" t="s">
        <v>67</v>
      </c>
      <c r="D7" s="39" t="s">
        <v>68</v>
      </c>
      <c r="E7" s="39" t="s">
        <v>51</v>
      </c>
      <c r="F7" s="40" t="s">
        <v>52</v>
      </c>
      <c r="G7" s="40">
        <v>30065</v>
      </c>
      <c r="H7" s="42" t="s">
        <v>69</v>
      </c>
      <c r="I7" s="43" t="s">
        <v>54</v>
      </c>
      <c r="J7" s="70">
        <v>202578</v>
      </c>
      <c r="K7" s="23"/>
      <c r="L7" s="45"/>
      <c r="M7" s="46"/>
      <c r="N7" s="46"/>
      <c r="O7" s="46"/>
      <c r="P7" s="46"/>
      <c r="Q7" s="46"/>
      <c r="R7" s="46"/>
      <c r="S7" s="46"/>
      <c r="T7" s="46"/>
      <c r="U7" s="46"/>
      <c r="V7" s="46"/>
      <c r="W7" s="46"/>
      <c r="X7" s="46"/>
      <c r="Y7" s="46"/>
      <c r="Z7" s="46"/>
      <c r="AA7" s="46"/>
      <c r="AB7" s="46"/>
      <c r="AC7" s="46"/>
      <c r="AD7" s="46"/>
      <c r="AE7" s="47"/>
      <c r="AF7" s="23"/>
    </row>
    <row r="8" spans="1:32" x14ac:dyDescent="0.25">
      <c r="A8" s="32">
        <v>5</v>
      </c>
      <c r="B8" s="42" t="s">
        <v>70</v>
      </c>
      <c r="C8" s="39" t="s">
        <v>71</v>
      </c>
      <c r="D8" s="39" t="s">
        <v>72</v>
      </c>
      <c r="E8" s="39" t="s">
        <v>51</v>
      </c>
      <c r="F8" s="40" t="s">
        <v>52</v>
      </c>
      <c r="G8" s="40">
        <v>30066</v>
      </c>
      <c r="H8" s="42" t="s">
        <v>73</v>
      </c>
      <c r="I8" s="43" t="s">
        <v>60</v>
      </c>
      <c r="J8" s="70">
        <v>177209</v>
      </c>
      <c r="K8" s="23"/>
      <c r="L8" s="45"/>
      <c r="M8" s="48" t="s">
        <v>40</v>
      </c>
      <c r="N8" s="46"/>
      <c r="O8" s="46"/>
      <c r="P8" s="415" t="str">
        <f ca="1">INDIRECT("C" &amp; COUNTA(B:B)+2)</f>
        <v>Carlton</v>
      </c>
      <c r="Q8" s="416"/>
      <c r="R8" s="416"/>
      <c r="S8" s="416"/>
      <c r="T8" s="416"/>
      <c r="U8" s="417"/>
      <c r="V8" s="46"/>
      <c r="W8" s="52" t="s">
        <v>43</v>
      </c>
      <c r="X8" s="46"/>
      <c r="Y8" s="49" t="str">
        <f ca="1">INDIRECT("F" &amp; COUNTA(B:B)+2)</f>
        <v xml:space="preserve">GA </v>
      </c>
      <c r="Z8" s="50"/>
      <c r="AA8" s="50"/>
      <c r="AB8" s="50"/>
      <c r="AC8" s="50"/>
      <c r="AD8" s="51"/>
      <c r="AE8" s="47"/>
      <c r="AF8" s="23"/>
    </row>
    <row r="9" spans="1:32" x14ac:dyDescent="0.25">
      <c r="A9" s="32">
        <v>6</v>
      </c>
      <c r="B9" s="39" t="s">
        <v>74</v>
      </c>
      <c r="C9" s="39" t="s">
        <v>75</v>
      </c>
      <c r="D9" s="39" t="s">
        <v>76</v>
      </c>
      <c r="E9" s="39" t="s">
        <v>77</v>
      </c>
      <c r="F9" s="40" t="s">
        <v>52</v>
      </c>
      <c r="G9" s="40">
        <v>30092</v>
      </c>
      <c r="H9" s="42" t="s">
        <v>78</v>
      </c>
      <c r="I9" s="43" t="s">
        <v>65</v>
      </c>
      <c r="J9" s="70">
        <v>212254.23</v>
      </c>
      <c r="K9" s="23"/>
      <c r="L9" s="45"/>
      <c r="M9" s="46"/>
      <c r="N9" s="46"/>
      <c r="O9" s="46"/>
      <c r="P9" s="46"/>
      <c r="Q9" s="46"/>
      <c r="R9" s="46"/>
      <c r="S9" s="46"/>
      <c r="T9" s="46"/>
      <c r="U9" s="46"/>
      <c r="V9" s="46"/>
      <c r="W9" s="46"/>
      <c r="X9" s="46"/>
      <c r="Y9" s="46"/>
      <c r="Z9" s="46"/>
      <c r="AA9" s="46"/>
      <c r="AB9" s="46"/>
      <c r="AC9" s="46"/>
      <c r="AD9" s="46"/>
      <c r="AE9" s="47"/>
      <c r="AF9" s="23"/>
    </row>
    <row r="10" spans="1:32" x14ac:dyDescent="0.25">
      <c r="A10" s="32">
        <v>7</v>
      </c>
      <c r="B10" s="39" t="s">
        <v>79</v>
      </c>
      <c r="C10" s="39" t="s">
        <v>80</v>
      </c>
      <c r="D10" s="39" t="s">
        <v>50</v>
      </c>
      <c r="E10" s="39" t="s">
        <v>81</v>
      </c>
      <c r="F10" s="40" t="s">
        <v>82</v>
      </c>
      <c r="G10" s="40">
        <v>30092</v>
      </c>
      <c r="H10" s="42" t="s">
        <v>53</v>
      </c>
      <c r="I10" s="43" t="s">
        <v>54</v>
      </c>
      <c r="J10" s="70">
        <v>124533.45</v>
      </c>
      <c r="K10" s="23"/>
      <c r="L10" s="45"/>
      <c r="M10" s="48" t="s">
        <v>41</v>
      </c>
      <c r="N10" s="46"/>
      <c r="O10" s="46"/>
      <c r="P10" s="415" t="str">
        <f ca="1">INDIRECT("D" &amp; COUNTA(B:B)+2)</f>
        <v>100 Peachtree Street</v>
      </c>
      <c r="Q10" s="416"/>
      <c r="R10" s="416"/>
      <c r="S10" s="416"/>
      <c r="T10" s="416"/>
      <c r="U10" s="417"/>
      <c r="V10" s="46"/>
      <c r="W10" s="52" t="s">
        <v>44</v>
      </c>
      <c r="X10" s="46"/>
      <c r="Y10" s="306">
        <f ca="1">INDIRECT("G" &amp; COUNTA(B:B)+2)</f>
        <v>30092</v>
      </c>
      <c r="Z10" s="314"/>
      <c r="AA10" s="314"/>
      <c r="AB10" s="314"/>
      <c r="AC10" s="314"/>
      <c r="AD10" s="315"/>
      <c r="AE10" s="47"/>
      <c r="AF10" s="23"/>
    </row>
    <row r="11" spans="1:32" x14ac:dyDescent="0.25">
      <c r="A11" s="32">
        <v>8</v>
      </c>
      <c r="B11" s="39"/>
      <c r="C11" s="39"/>
      <c r="D11" s="39"/>
      <c r="E11" s="39"/>
      <c r="F11" s="39"/>
      <c r="G11" s="39"/>
      <c r="H11" s="39"/>
      <c r="I11" s="40"/>
      <c r="J11" s="70"/>
      <c r="K11" s="23"/>
      <c r="L11" s="45"/>
      <c r="M11" s="46"/>
      <c r="N11" s="46"/>
      <c r="O11" s="46"/>
      <c r="P11" s="46"/>
      <c r="Q11" s="46"/>
      <c r="R11" s="46"/>
      <c r="S11" s="46"/>
      <c r="T11" s="46"/>
      <c r="U11" s="46"/>
      <c r="V11" s="46"/>
      <c r="W11" s="46"/>
      <c r="X11" s="46"/>
      <c r="Y11" s="46"/>
      <c r="Z11" s="46"/>
      <c r="AA11" s="46"/>
      <c r="AB11" s="46"/>
      <c r="AC11" s="46"/>
      <c r="AD11" s="46"/>
      <c r="AE11" s="47"/>
      <c r="AF11" s="23"/>
    </row>
    <row r="12" spans="1:32" x14ac:dyDescent="0.25">
      <c r="A12" s="32">
        <v>9</v>
      </c>
      <c r="B12" s="39"/>
      <c r="C12" s="42"/>
      <c r="D12" s="39"/>
      <c r="E12" s="39"/>
      <c r="F12" s="40"/>
      <c r="G12" s="40"/>
      <c r="H12" s="42"/>
      <c r="I12" s="43"/>
      <c r="J12" s="70"/>
      <c r="K12" s="23"/>
      <c r="L12" s="45"/>
      <c r="M12" s="52" t="s">
        <v>45</v>
      </c>
      <c r="N12" s="46"/>
      <c r="O12" s="46"/>
      <c r="P12" s="415" t="str">
        <f ca="1">INDIRECT("H" &amp; COUNTA(B:B)+2)</f>
        <v>770.842.5902</v>
      </c>
      <c r="Q12" s="416"/>
      <c r="R12" s="416"/>
      <c r="S12" s="416"/>
      <c r="T12" s="416"/>
      <c r="U12" s="417"/>
      <c r="V12" s="46"/>
      <c r="W12" s="60" t="s">
        <v>99</v>
      </c>
      <c r="X12" s="46"/>
      <c r="Y12" s="49" t="str">
        <f ca="1">INDIRECT("I" &amp; COUNTA(B:B)+2)</f>
        <v>Plan A</v>
      </c>
      <c r="Z12" s="50"/>
      <c r="AA12" s="50"/>
      <c r="AB12" s="50"/>
      <c r="AC12" s="50"/>
      <c r="AD12" s="51"/>
      <c r="AE12" s="47"/>
      <c r="AF12" s="23"/>
    </row>
    <row r="13" spans="1:32" x14ac:dyDescent="0.25">
      <c r="A13" s="32">
        <v>10</v>
      </c>
      <c r="B13" s="39"/>
      <c r="C13" s="42"/>
      <c r="D13" s="39"/>
      <c r="E13" s="39"/>
      <c r="F13" s="40"/>
      <c r="G13" s="40"/>
      <c r="H13" s="42"/>
      <c r="I13" s="43"/>
      <c r="J13" s="70"/>
      <c r="K13" s="23"/>
      <c r="L13" s="45"/>
      <c r="M13" s="46"/>
      <c r="N13" s="46"/>
      <c r="O13" s="46"/>
      <c r="P13" s="46"/>
      <c r="Q13" s="46"/>
      <c r="R13" s="46"/>
      <c r="S13" s="46"/>
      <c r="T13" s="46"/>
      <c r="U13" s="46"/>
      <c r="V13" s="46"/>
      <c r="W13" s="46"/>
      <c r="X13" s="46"/>
      <c r="Y13" s="46"/>
      <c r="Z13" s="46"/>
      <c r="AA13" s="46"/>
      <c r="AB13" s="46"/>
      <c r="AC13" s="46"/>
      <c r="AD13" s="46"/>
      <c r="AE13" s="47"/>
      <c r="AF13" s="23"/>
    </row>
    <row r="14" spans="1:32" x14ac:dyDescent="0.25">
      <c r="A14" s="32">
        <v>11</v>
      </c>
      <c r="B14" s="39"/>
      <c r="C14" s="42"/>
      <c r="D14" s="39"/>
      <c r="E14" s="39"/>
      <c r="F14" s="40"/>
      <c r="G14" s="40"/>
      <c r="H14" s="42"/>
      <c r="I14" s="43"/>
      <c r="J14" s="70"/>
      <c r="K14" s="23"/>
      <c r="L14" s="45"/>
      <c r="M14" s="52" t="s">
        <v>90</v>
      </c>
      <c r="N14" s="46"/>
      <c r="O14" s="46"/>
      <c r="P14" s="46"/>
      <c r="Q14" s="46"/>
      <c r="R14" s="46"/>
      <c r="S14" s="46"/>
      <c r="T14" s="46"/>
      <c r="U14" s="46"/>
      <c r="V14" s="46"/>
      <c r="W14" s="46"/>
      <c r="X14" s="46"/>
      <c r="Y14" s="413">
        <f ca="1">INDIRECT("J" &amp; COUNTA(B:B)+2)</f>
        <v>124533.45</v>
      </c>
      <c r="Z14" s="414"/>
      <c r="AA14" s="414"/>
      <c r="AB14" s="50"/>
      <c r="AC14" s="50"/>
      <c r="AD14" s="51"/>
      <c r="AE14" s="47"/>
      <c r="AF14" s="23"/>
    </row>
    <row r="15" spans="1:32" x14ac:dyDescent="0.25">
      <c r="A15" s="32">
        <v>12</v>
      </c>
      <c r="B15" s="39"/>
      <c r="C15" s="42"/>
      <c r="D15" s="39"/>
      <c r="E15" s="39"/>
      <c r="F15" s="40"/>
      <c r="G15" s="40"/>
      <c r="H15" s="42"/>
      <c r="I15" s="43"/>
      <c r="J15" s="70"/>
      <c r="K15" s="23"/>
      <c r="L15" s="45"/>
      <c r="M15" s="46"/>
      <c r="N15" s="46"/>
      <c r="O15" s="46"/>
      <c r="P15" s="46"/>
      <c r="Q15" s="46"/>
      <c r="R15" s="46"/>
      <c r="S15" s="46"/>
      <c r="T15" s="46"/>
      <c r="U15" s="46"/>
      <c r="V15" s="46"/>
      <c r="W15" s="46"/>
      <c r="X15" s="46"/>
      <c r="Y15" s="46"/>
      <c r="Z15" s="46"/>
      <c r="AA15" s="46"/>
      <c r="AB15" s="46"/>
      <c r="AC15" s="46"/>
      <c r="AD15" s="46"/>
      <c r="AE15" s="47"/>
      <c r="AF15" s="23"/>
    </row>
    <row r="16" spans="1:32" x14ac:dyDescent="0.25">
      <c r="A16" s="32">
        <v>13</v>
      </c>
      <c r="B16" s="39"/>
      <c r="C16" s="42"/>
      <c r="D16" s="39"/>
      <c r="E16" s="39"/>
      <c r="F16" s="40"/>
      <c r="G16" s="40"/>
      <c r="H16" s="42"/>
      <c r="I16" s="43"/>
      <c r="J16" s="70"/>
      <c r="K16" s="23"/>
      <c r="L16" s="303" t="s">
        <v>91</v>
      </c>
      <c r="M16" s="304"/>
      <c r="N16" s="304"/>
      <c r="O16" s="304"/>
      <c r="P16" s="304"/>
      <c r="Q16" s="304"/>
      <c r="R16" s="304"/>
      <c r="S16" s="304"/>
      <c r="T16" s="304"/>
      <c r="U16" s="304"/>
      <c r="V16" s="304"/>
      <c r="W16" s="304"/>
      <c r="X16" s="304"/>
      <c r="Y16" s="304"/>
      <c r="Z16" s="304"/>
      <c r="AA16" s="304"/>
      <c r="AB16" s="304"/>
      <c r="AC16" s="304"/>
      <c r="AD16" s="304"/>
      <c r="AE16" s="305"/>
      <c r="AF16" s="23"/>
    </row>
    <row r="17" spans="1:32" ht="16.5" thickBot="1" x14ac:dyDescent="0.3">
      <c r="A17" s="32">
        <v>14</v>
      </c>
      <c r="B17" s="39"/>
      <c r="C17" s="42"/>
      <c r="D17" s="39"/>
      <c r="E17" s="39"/>
      <c r="F17" s="40"/>
      <c r="G17" s="40"/>
      <c r="H17" s="42"/>
      <c r="I17" s="43"/>
      <c r="J17" s="70"/>
      <c r="K17" s="23"/>
      <c r="L17" s="61"/>
      <c r="M17" s="62"/>
      <c r="N17" s="62"/>
      <c r="O17" s="62"/>
      <c r="P17" s="62"/>
      <c r="Q17" s="62"/>
      <c r="R17" s="62"/>
      <c r="S17" s="62"/>
      <c r="T17" s="62"/>
      <c r="U17" s="62"/>
      <c r="V17" s="62"/>
      <c r="W17" s="62"/>
      <c r="X17" s="62"/>
      <c r="Y17" s="62"/>
      <c r="Z17" s="62"/>
      <c r="AA17" s="62"/>
      <c r="AB17" s="62"/>
      <c r="AC17" s="62"/>
      <c r="AD17" s="62"/>
      <c r="AE17" s="63"/>
      <c r="AF17" s="23"/>
    </row>
    <row r="18" spans="1:32" x14ac:dyDescent="0.25">
      <c r="A18" s="32">
        <v>15</v>
      </c>
      <c r="B18" s="39"/>
      <c r="C18" s="42"/>
      <c r="D18" s="39"/>
      <c r="E18" s="39"/>
      <c r="F18" s="40"/>
      <c r="G18" s="40"/>
      <c r="H18" s="42"/>
      <c r="I18" s="43"/>
      <c r="J18" s="70"/>
      <c r="K18" s="23"/>
      <c r="L18" s="23"/>
      <c r="M18" s="23"/>
      <c r="N18" s="23"/>
      <c r="O18" s="23"/>
      <c r="P18" s="23"/>
      <c r="Q18" s="23"/>
      <c r="R18" s="23"/>
      <c r="S18" s="23"/>
      <c r="T18" s="23"/>
      <c r="U18" s="23"/>
      <c r="V18" s="23"/>
      <c r="W18" s="23"/>
      <c r="X18" s="23"/>
      <c r="Y18" s="23"/>
      <c r="Z18" s="23"/>
      <c r="AA18" s="23"/>
      <c r="AB18" s="23"/>
      <c r="AC18" s="23"/>
      <c r="AD18" s="23"/>
      <c r="AE18" s="23"/>
      <c r="AF18" s="23"/>
    </row>
    <row r="19" spans="1:32" x14ac:dyDescent="0.25">
      <c r="A19" s="32">
        <v>16</v>
      </c>
      <c r="B19" s="39"/>
      <c r="C19" s="42"/>
      <c r="D19" s="39"/>
      <c r="E19" s="39"/>
      <c r="F19" s="40"/>
      <c r="G19" s="40"/>
      <c r="H19" s="42"/>
      <c r="I19" s="43"/>
      <c r="J19" s="70"/>
      <c r="K19" s="23"/>
      <c r="L19" s="23"/>
      <c r="M19" s="23"/>
      <c r="N19" s="23"/>
      <c r="O19" s="23"/>
      <c r="P19" s="23"/>
      <c r="Q19" s="23"/>
      <c r="R19" s="23"/>
      <c r="S19" s="23"/>
      <c r="T19" s="23"/>
      <c r="U19" s="23"/>
      <c r="V19" s="23"/>
      <c r="W19" s="23"/>
      <c r="X19" s="23"/>
      <c r="Y19" s="23"/>
      <c r="Z19" s="23"/>
      <c r="AA19" s="23"/>
      <c r="AB19" s="23"/>
      <c r="AC19" s="23"/>
      <c r="AD19" s="23"/>
      <c r="AE19" s="23"/>
      <c r="AF19" s="23"/>
    </row>
    <row r="20" spans="1:32" x14ac:dyDescent="0.25">
      <c r="A20" s="32">
        <v>17</v>
      </c>
      <c r="B20" s="39"/>
      <c r="C20" s="42"/>
      <c r="D20" s="39"/>
      <c r="E20" s="39"/>
      <c r="F20" s="40"/>
      <c r="G20" s="40"/>
      <c r="H20" s="42"/>
      <c r="I20" s="43"/>
      <c r="J20" s="70"/>
      <c r="K20" s="23"/>
      <c r="L20" s="23"/>
      <c r="M20" s="23"/>
      <c r="N20" s="23"/>
      <c r="O20" s="23"/>
      <c r="P20" s="23"/>
      <c r="Q20" s="23"/>
      <c r="R20" s="23"/>
      <c r="S20" s="23"/>
      <c r="T20" s="23"/>
      <c r="U20" s="23"/>
      <c r="V20" s="23"/>
      <c r="W20" s="23"/>
      <c r="X20" s="23"/>
      <c r="Y20" s="23"/>
      <c r="Z20" s="23"/>
      <c r="AA20" s="23"/>
      <c r="AB20" s="23"/>
      <c r="AC20" s="23"/>
      <c r="AD20" s="23"/>
      <c r="AE20" s="23"/>
      <c r="AF20" s="23"/>
    </row>
    <row r="21" spans="1:32" x14ac:dyDescent="0.25">
      <c r="A21" s="32">
        <v>18</v>
      </c>
      <c r="B21" s="39"/>
      <c r="C21" s="42"/>
      <c r="D21" s="39"/>
      <c r="E21" s="39"/>
      <c r="F21" s="40"/>
      <c r="G21" s="40"/>
      <c r="H21" s="42"/>
      <c r="I21" s="43"/>
      <c r="J21" s="70"/>
      <c r="K21" s="23"/>
      <c r="L21" s="23"/>
      <c r="M21" s="23"/>
      <c r="N21" s="23"/>
      <c r="O21" s="23"/>
      <c r="P21" s="23"/>
      <c r="Q21" s="23"/>
      <c r="R21" s="23"/>
      <c r="S21" s="23"/>
      <c r="T21" s="23"/>
      <c r="U21" s="23"/>
      <c r="V21" s="23"/>
      <c r="W21" s="23"/>
      <c r="X21" s="23"/>
      <c r="Y21" s="23"/>
      <c r="Z21" s="23"/>
      <c r="AA21" s="23"/>
      <c r="AB21" s="23"/>
      <c r="AC21" s="23"/>
      <c r="AD21" s="23"/>
      <c r="AE21" s="23"/>
      <c r="AF21" s="23"/>
    </row>
    <row r="22" spans="1:32" x14ac:dyDescent="0.25">
      <c r="A22" s="32">
        <v>19</v>
      </c>
      <c r="B22" s="39"/>
      <c r="C22" s="42"/>
      <c r="D22" s="39"/>
      <c r="E22" s="39"/>
      <c r="F22" s="40"/>
      <c r="G22" s="40"/>
      <c r="H22" s="42"/>
      <c r="I22" s="43"/>
      <c r="J22" s="70"/>
      <c r="K22" s="23"/>
      <c r="L22" s="23"/>
      <c r="M22" s="23"/>
      <c r="N22" s="23"/>
      <c r="O22" s="23"/>
      <c r="P22" s="23"/>
      <c r="Q22" s="23"/>
      <c r="R22" s="23"/>
      <c r="S22" s="23"/>
      <c r="T22" s="23"/>
      <c r="U22" s="23"/>
      <c r="V22" s="23"/>
      <c r="W22" s="23"/>
      <c r="X22" s="23"/>
      <c r="Y22" s="23"/>
      <c r="Z22" s="23"/>
      <c r="AA22" s="23"/>
      <c r="AB22" s="23"/>
      <c r="AC22" s="23"/>
      <c r="AD22" s="23"/>
      <c r="AE22" s="23"/>
      <c r="AF22" s="23"/>
    </row>
    <row r="23" spans="1:32" x14ac:dyDescent="0.25">
      <c r="A23" s="32">
        <v>20</v>
      </c>
      <c r="B23" s="39"/>
      <c r="C23" s="42"/>
      <c r="D23" s="39"/>
      <c r="E23" s="39"/>
      <c r="F23" s="40"/>
      <c r="G23" s="40"/>
      <c r="H23" s="42"/>
      <c r="I23" s="43"/>
      <c r="J23" s="70"/>
      <c r="K23" s="23"/>
      <c r="L23" s="23"/>
      <c r="M23" s="23"/>
      <c r="N23" s="23"/>
      <c r="O23" s="23"/>
      <c r="P23" s="23"/>
      <c r="Q23" s="23"/>
      <c r="R23" s="23"/>
      <c r="S23" s="23"/>
      <c r="T23" s="23"/>
      <c r="U23" s="23"/>
      <c r="V23" s="23"/>
      <c r="W23" s="23"/>
      <c r="X23" s="23"/>
      <c r="Y23" s="23"/>
      <c r="Z23" s="23"/>
      <c r="AA23" s="23"/>
      <c r="AB23" s="23"/>
      <c r="AC23" s="23"/>
      <c r="AD23" s="23"/>
      <c r="AE23" s="23"/>
      <c r="AF23" s="23"/>
    </row>
    <row r="24" spans="1:32" x14ac:dyDescent="0.25">
      <c r="A24" s="32">
        <v>21</v>
      </c>
      <c r="B24" s="39"/>
      <c r="C24" s="42"/>
      <c r="D24" s="39"/>
      <c r="E24" s="39"/>
      <c r="F24" s="40"/>
      <c r="G24" s="40"/>
      <c r="H24" s="42"/>
      <c r="I24" s="43"/>
      <c r="J24" s="70"/>
      <c r="K24" s="23"/>
      <c r="L24" s="23"/>
      <c r="M24" s="23"/>
      <c r="N24" s="23"/>
      <c r="O24" s="23"/>
      <c r="P24" s="23"/>
      <c r="Q24" s="23"/>
      <c r="R24" s="23"/>
      <c r="S24" s="23"/>
      <c r="T24" s="23"/>
      <c r="U24" s="23"/>
      <c r="V24" s="23"/>
      <c r="W24" s="23"/>
      <c r="X24" s="23"/>
      <c r="Y24" s="23"/>
      <c r="Z24" s="23"/>
      <c r="AA24" s="23"/>
      <c r="AB24" s="23"/>
      <c r="AC24" s="23"/>
      <c r="AD24" s="23"/>
      <c r="AE24" s="23"/>
      <c r="AF24" s="23"/>
    </row>
    <row r="25" spans="1:32" x14ac:dyDescent="0.25">
      <c r="A25" s="32">
        <v>22</v>
      </c>
      <c r="B25" s="39"/>
      <c r="C25" s="42"/>
      <c r="D25" s="39"/>
      <c r="E25" s="39"/>
      <c r="F25" s="40"/>
      <c r="G25" s="40"/>
      <c r="H25" s="42"/>
      <c r="I25" s="43"/>
      <c r="J25" s="70"/>
      <c r="K25" s="23"/>
      <c r="L25" s="23"/>
      <c r="M25" s="23"/>
      <c r="N25" s="23"/>
      <c r="O25" s="23"/>
      <c r="P25" s="23"/>
      <c r="Q25" s="23"/>
      <c r="R25" s="23"/>
      <c r="S25" s="23"/>
      <c r="T25" s="23"/>
      <c r="U25" s="23"/>
      <c r="V25" s="23"/>
      <c r="W25" s="23"/>
      <c r="X25" s="23"/>
      <c r="Y25" s="23"/>
      <c r="Z25" s="23"/>
      <c r="AA25" s="23"/>
      <c r="AB25" s="23"/>
      <c r="AC25" s="23"/>
      <c r="AD25" s="23"/>
      <c r="AE25" s="23"/>
      <c r="AF25" s="23"/>
    </row>
    <row r="26" spans="1:32" x14ac:dyDescent="0.25">
      <c r="A26" s="32">
        <v>23</v>
      </c>
      <c r="B26" s="39"/>
      <c r="C26" s="42"/>
      <c r="D26" s="39"/>
      <c r="E26" s="39"/>
      <c r="F26" s="40"/>
      <c r="G26" s="40"/>
      <c r="H26" s="42"/>
      <c r="I26" s="43"/>
      <c r="J26" s="70"/>
      <c r="K26" s="23"/>
      <c r="L26" s="23"/>
      <c r="M26" s="23"/>
      <c r="N26" s="23"/>
      <c r="O26" s="23"/>
      <c r="P26" s="23"/>
      <c r="Q26" s="23"/>
      <c r="R26" s="23"/>
      <c r="S26" s="23"/>
      <c r="T26" s="23"/>
      <c r="U26" s="23"/>
      <c r="V26" s="23"/>
      <c r="W26" s="23"/>
      <c r="X26" s="23"/>
      <c r="Y26" s="23"/>
      <c r="Z26" s="23"/>
      <c r="AA26" s="23"/>
      <c r="AB26" s="23"/>
      <c r="AC26" s="23"/>
      <c r="AD26" s="23"/>
      <c r="AE26" s="23"/>
      <c r="AF26" s="23"/>
    </row>
    <row r="27" spans="1:32" x14ac:dyDescent="0.25">
      <c r="A27" s="32">
        <v>24</v>
      </c>
      <c r="B27" s="39"/>
      <c r="C27" s="42"/>
      <c r="D27" s="39"/>
      <c r="E27" s="39"/>
      <c r="F27" s="40"/>
      <c r="G27" s="40"/>
      <c r="H27" s="42"/>
      <c r="I27" s="43"/>
      <c r="J27" s="70"/>
      <c r="K27" s="23"/>
      <c r="L27" s="23"/>
      <c r="M27" s="23"/>
      <c r="N27" s="23"/>
      <c r="O27" s="23"/>
      <c r="P27" s="23"/>
      <c r="Q27" s="23"/>
      <c r="R27" s="23"/>
      <c r="S27" s="23"/>
      <c r="T27" s="23"/>
      <c r="U27" s="23"/>
      <c r="V27" s="23"/>
      <c r="W27" s="23"/>
      <c r="X27" s="23"/>
      <c r="Y27" s="23"/>
      <c r="Z27" s="23"/>
      <c r="AA27" s="23"/>
      <c r="AB27" s="23"/>
      <c r="AC27" s="23"/>
      <c r="AD27" s="23"/>
      <c r="AE27" s="23"/>
      <c r="AF27" s="23"/>
    </row>
    <row r="28" spans="1:32" x14ac:dyDescent="0.25">
      <c r="A28" s="32">
        <v>25</v>
      </c>
      <c r="B28" s="39"/>
      <c r="C28" s="42"/>
      <c r="D28" s="39"/>
      <c r="E28" s="39"/>
      <c r="F28" s="40"/>
      <c r="G28" s="40"/>
      <c r="H28" s="42"/>
      <c r="I28" s="43"/>
      <c r="J28" s="70"/>
      <c r="K28" s="23"/>
      <c r="L28" s="23"/>
      <c r="M28" s="23"/>
      <c r="N28" s="23"/>
      <c r="O28" s="23"/>
      <c r="P28" s="23"/>
      <c r="Q28" s="23"/>
      <c r="R28" s="23"/>
      <c r="S28" s="23"/>
      <c r="T28" s="23"/>
      <c r="U28" s="23"/>
      <c r="V28" s="23"/>
      <c r="W28" s="23"/>
      <c r="X28" s="23"/>
      <c r="Y28" s="23"/>
      <c r="Z28" s="23"/>
      <c r="AA28" s="23"/>
      <c r="AB28" s="23"/>
      <c r="AC28" s="23"/>
      <c r="AD28" s="23"/>
      <c r="AE28" s="23"/>
      <c r="AF28" s="23"/>
    </row>
    <row r="29" spans="1:32" x14ac:dyDescent="0.25">
      <c r="A29" s="32">
        <v>26</v>
      </c>
      <c r="B29" s="39"/>
      <c r="C29" s="42"/>
      <c r="D29" s="39"/>
      <c r="E29" s="39"/>
      <c r="F29" s="40"/>
      <c r="G29" s="40"/>
      <c r="H29" s="42"/>
      <c r="I29" s="43"/>
      <c r="J29" s="70"/>
      <c r="K29" s="23"/>
      <c r="L29" s="23"/>
      <c r="M29" s="23"/>
      <c r="N29" s="23"/>
      <c r="O29" s="23"/>
      <c r="P29" s="23"/>
      <c r="Q29" s="23"/>
      <c r="R29" s="23"/>
      <c r="S29" s="23"/>
      <c r="T29" s="23"/>
      <c r="U29" s="23"/>
      <c r="V29" s="23"/>
      <c r="W29" s="23"/>
      <c r="X29" s="23"/>
      <c r="Y29" s="23"/>
      <c r="Z29" s="23"/>
      <c r="AA29" s="23"/>
      <c r="AB29" s="23"/>
      <c r="AC29" s="23"/>
      <c r="AD29" s="23"/>
      <c r="AE29" s="23"/>
      <c r="AF29" s="23"/>
    </row>
  </sheetData>
  <mergeCells count="8">
    <mergeCell ref="Y14:AA14"/>
    <mergeCell ref="L16:AE16"/>
    <mergeCell ref="L4:AE4"/>
    <mergeCell ref="P6:U6"/>
    <mergeCell ref="P8:U8"/>
    <mergeCell ref="P10:U10"/>
    <mergeCell ref="Y10:AD10"/>
    <mergeCell ref="P12:U12"/>
  </mergeCells>
  <pageMargins left="0.7" right="0.7" top="0.75" bottom="0.75" header="0.3" footer="0.3"/>
  <drawing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dimension ref="A1:AG30"/>
  <sheetViews>
    <sheetView showGridLines="0" workbookViewId="0">
      <selection activeCell="Q1" sqref="Q1"/>
    </sheetView>
  </sheetViews>
  <sheetFormatPr defaultRowHeight="15.75" x14ac:dyDescent="0.25"/>
  <cols>
    <col min="1" max="1" width="7.875" bestFit="1" customWidth="1"/>
    <col min="2" max="3" width="10" bestFit="1" customWidth="1"/>
    <col min="4" max="4" width="19" bestFit="1" customWidth="1"/>
    <col min="5" max="5" width="8.375" bestFit="1" customWidth="1"/>
    <col min="6" max="6" width="5.375" bestFit="1" customWidth="1"/>
    <col min="7" max="7" width="5.875" bestFit="1" customWidth="1"/>
    <col min="8" max="8" width="11.875" bestFit="1" customWidth="1"/>
    <col min="9" max="9" width="11.875" customWidth="1"/>
    <col min="10" max="10" width="12.125" bestFit="1" customWidth="1"/>
    <col min="11" max="11" width="3.75" customWidth="1"/>
    <col min="12" max="31" width="3.625" customWidth="1"/>
    <col min="32" max="32" width="3" customWidth="1"/>
  </cols>
  <sheetData>
    <row r="1" spans="1:33" x14ac:dyDescent="0.25">
      <c r="A1" s="16"/>
      <c r="B1" s="16"/>
      <c r="C1" s="16"/>
      <c r="D1" s="16"/>
      <c r="E1" s="16"/>
      <c r="F1" s="16"/>
      <c r="G1" s="16"/>
      <c r="H1" s="16"/>
      <c r="I1" s="16"/>
      <c r="J1" s="16"/>
      <c r="K1" s="16"/>
      <c r="L1" s="16"/>
      <c r="M1" s="16"/>
      <c r="N1" s="16"/>
      <c r="O1" s="16"/>
      <c r="P1" s="16"/>
      <c r="Q1" s="16"/>
      <c r="R1" s="16"/>
      <c r="S1" s="17">
        <f t="shared" ref="S1:AB1" si="0">VLOOKUP(MAX($A$3:$A$147),$A$3:$H$147,2)</f>
        <v>0</v>
      </c>
      <c r="T1" s="17">
        <f t="shared" si="0"/>
        <v>0</v>
      </c>
      <c r="U1" s="17">
        <f t="shared" si="0"/>
        <v>0</v>
      </c>
      <c r="V1" s="17">
        <f t="shared" si="0"/>
        <v>0</v>
      </c>
      <c r="W1" s="17">
        <f t="shared" si="0"/>
        <v>0</v>
      </c>
      <c r="X1" s="17">
        <f t="shared" si="0"/>
        <v>0</v>
      </c>
      <c r="Y1" s="17">
        <f t="shared" si="0"/>
        <v>0</v>
      </c>
      <c r="Z1" s="17">
        <f t="shared" si="0"/>
        <v>0</v>
      </c>
      <c r="AA1" s="17">
        <f t="shared" si="0"/>
        <v>0</v>
      </c>
      <c r="AB1" s="17">
        <f t="shared" si="0"/>
        <v>0</v>
      </c>
      <c r="AC1" s="18"/>
      <c r="AD1" s="18"/>
      <c r="AE1" s="18"/>
      <c r="AF1" s="18"/>
      <c r="AG1" s="18"/>
    </row>
    <row r="2" spans="1:33" ht="16.5" thickBot="1" x14ac:dyDescent="0.3">
      <c r="A2" s="73"/>
      <c r="B2" s="20"/>
      <c r="C2" s="20"/>
      <c r="D2" s="20"/>
      <c r="E2" s="20"/>
      <c r="F2" s="20"/>
      <c r="G2" s="20"/>
      <c r="H2" s="20"/>
      <c r="I2" s="22"/>
      <c r="J2" s="20"/>
      <c r="K2" s="23"/>
      <c r="L2" s="23"/>
      <c r="M2" s="23"/>
      <c r="N2" s="23"/>
      <c r="O2" s="23"/>
      <c r="P2" s="23"/>
      <c r="Q2" s="23"/>
      <c r="R2" s="23"/>
      <c r="S2" s="23"/>
      <c r="T2" s="23"/>
      <c r="U2" s="23"/>
      <c r="V2" s="23"/>
      <c r="W2" s="23"/>
      <c r="X2" s="23"/>
      <c r="Y2" s="23"/>
      <c r="Z2" s="23"/>
      <c r="AA2" s="23"/>
      <c r="AB2" s="23"/>
      <c r="AC2" s="23"/>
      <c r="AD2" s="23"/>
      <c r="AE2" s="23"/>
      <c r="AF2" s="23"/>
      <c r="AG2" s="23"/>
    </row>
    <row r="3" spans="1:33" x14ac:dyDescent="0.25">
      <c r="A3" s="68" t="s">
        <v>38</v>
      </c>
      <c r="B3" s="69" t="s">
        <v>39</v>
      </c>
      <c r="C3" s="69" t="s">
        <v>40</v>
      </c>
      <c r="D3" s="69" t="s">
        <v>41</v>
      </c>
      <c r="E3" s="68" t="s">
        <v>42</v>
      </c>
      <c r="F3" s="68" t="s">
        <v>43</v>
      </c>
      <c r="G3" s="68" t="s">
        <v>44</v>
      </c>
      <c r="H3" s="68" t="s">
        <v>45</v>
      </c>
      <c r="I3" s="68" t="s">
        <v>46</v>
      </c>
      <c r="J3" s="68" t="s">
        <v>47</v>
      </c>
      <c r="K3" s="23"/>
      <c r="L3" s="29"/>
      <c r="M3" s="30"/>
      <c r="N3" s="30"/>
      <c r="O3" s="30"/>
      <c r="P3" s="30"/>
      <c r="Q3" s="30"/>
      <c r="R3" s="30"/>
      <c r="S3" s="30"/>
      <c r="T3" s="30"/>
      <c r="U3" s="30"/>
      <c r="V3" s="30"/>
      <c r="W3" s="30"/>
      <c r="X3" s="30"/>
      <c r="Y3" s="30"/>
      <c r="Z3" s="30"/>
      <c r="AA3" s="30"/>
      <c r="AB3" s="30"/>
      <c r="AC3" s="30"/>
      <c r="AD3" s="30"/>
      <c r="AE3" s="31"/>
      <c r="AF3" s="23"/>
      <c r="AG3" s="23"/>
    </row>
    <row r="4" spans="1:33" x14ac:dyDescent="0.25">
      <c r="A4" s="32">
        <v>1</v>
      </c>
      <c r="B4" s="33" t="s">
        <v>48</v>
      </c>
      <c r="C4" s="34" t="s">
        <v>49</v>
      </c>
      <c r="D4" s="34" t="s">
        <v>50</v>
      </c>
      <c r="E4" s="34" t="s">
        <v>51</v>
      </c>
      <c r="F4" s="35" t="s">
        <v>52</v>
      </c>
      <c r="G4" s="35">
        <v>30062</v>
      </c>
      <c r="H4" s="33" t="s">
        <v>53</v>
      </c>
      <c r="I4" s="37" t="s">
        <v>54</v>
      </c>
      <c r="J4" s="70">
        <v>157665</v>
      </c>
      <c r="K4" s="23"/>
      <c r="L4" s="300" t="s">
        <v>55</v>
      </c>
      <c r="M4" s="301"/>
      <c r="N4" s="301"/>
      <c r="O4" s="301"/>
      <c r="P4" s="301"/>
      <c r="Q4" s="301"/>
      <c r="R4" s="301"/>
      <c r="S4" s="301"/>
      <c r="T4" s="301"/>
      <c r="U4" s="301"/>
      <c r="V4" s="301"/>
      <c r="W4" s="301"/>
      <c r="X4" s="301"/>
      <c r="Y4" s="301"/>
      <c r="Z4" s="301"/>
      <c r="AA4" s="301"/>
      <c r="AB4" s="301"/>
      <c r="AC4" s="301"/>
      <c r="AD4" s="301"/>
      <c r="AE4" s="302"/>
      <c r="AF4" s="23"/>
      <c r="AG4" s="23"/>
    </row>
    <row r="5" spans="1:33" x14ac:dyDescent="0.25">
      <c r="A5" s="32">
        <v>2</v>
      </c>
      <c r="B5" s="39" t="s">
        <v>56</v>
      </c>
      <c r="C5" s="39" t="s">
        <v>57</v>
      </c>
      <c r="D5" s="39" t="s">
        <v>58</v>
      </c>
      <c r="E5" s="39" t="s">
        <v>51</v>
      </c>
      <c r="F5" s="40" t="s">
        <v>52</v>
      </c>
      <c r="G5" s="40">
        <v>30063</v>
      </c>
      <c r="H5" s="42" t="s">
        <v>59</v>
      </c>
      <c r="I5" s="43" t="s">
        <v>60</v>
      </c>
      <c r="J5" s="71">
        <v>156340</v>
      </c>
      <c r="K5" s="23"/>
      <c r="L5" s="45"/>
      <c r="M5" s="46"/>
      <c r="N5" s="46"/>
      <c r="O5" s="46"/>
      <c r="P5" s="46"/>
      <c r="Q5" s="46"/>
      <c r="R5" s="46"/>
      <c r="S5" s="46"/>
      <c r="T5" s="46"/>
      <c r="U5" s="46"/>
      <c r="V5" s="46"/>
      <c r="W5" s="46"/>
      <c r="X5" s="46"/>
      <c r="Y5" s="46"/>
      <c r="Z5" s="46"/>
      <c r="AA5" s="46"/>
      <c r="AB5" s="46"/>
      <c r="AC5" s="46"/>
      <c r="AD5" s="46"/>
      <c r="AE5" s="47"/>
      <c r="AF5" s="23"/>
      <c r="AG5" s="23"/>
    </row>
    <row r="6" spans="1:33" x14ac:dyDescent="0.25">
      <c r="A6" s="32">
        <v>3</v>
      </c>
      <c r="B6" s="39" t="s">
        <v>61</v>
      </c>
      <c r="C6" s="42" t="s">
        <v>62</v>
      </c>
      <c r="D6" s="39" t="s">
        <v>63</v>
      </c>
      <c r="E6" s="39" t="s">
        <v>51</v>
      </c>
      <c r="F6" s="40" t="s">
        <v>52</v>
      </c>
      <c r="G6" s="40">
        <v>30064</v>
      </c>
      <c r="H6" s="42" t="s">
        <v>64</v>
      </c>
      <c r="I6" s="43" t="s">
        <v>65</v>
      </c>
      <c r="J6" s="71">
        <v>81480</v>
      </c>
      <c r="K6" s="23"/>
      <c r="L6" s="45"/>
      <c r="M6" s="48" t="s">
        <v>39</v>
      </c>
      <c r="N6" s="46"/>
      <c r="O6" s="46"/>
      <c r="P6" t="str">
        <f>INDEX(B:B,(MATCH(TRUE,INDEX((B:B&lt;&gt;0),0,1),0)+(COUNTA(B:B)-1)),1)</f>
        <v>Collins</v>
      </c>
      <c r="Q6" s="50"/>
      <c r="R6" s="50"/>
      <c r="S6" s="50"/>
      <c r="T6" s="50"/>
      <c r="U6" s="51"/>
      <c r="V6" s="46"/>
      <c r="W6" s="52" t="s">
        <v>42</v>
      </c>
      <c r="X6" s="46"/>
      <c r="Y6" t="str">
        <f>INDEX(E:E,(MATCH(TRUE,INDEX((E:E&lt;&gt;0),0,1),0)+(COUNTA(E:E)-1)),1)</f>
        <v>Norcross</v>
      </c>
      <c r="Z6" s="50"/>
      <c r="AA6" s="50"/>
      <c r="AB6" s="50"/>
      <c r="AC6" s="50"/>
      <c r="AD6" s="51"/>
      <c r="AE6" s="47"/>
      <c r="AF6" s="23"/>
      <c r="AG6" s="23"/>
    </row>
    <row r="7" spans="1:33" x14ac:dyDescent="0.25">
      <c r="A7" s="32">
        <v>4</v>
      </c>
      <c r="B7" s="39" t="s">
        <v>66</v>
      </c>
      <c r="C7" s="42" t="s">
        <v>67</v>
      </c>
      <c r="D7" s="39" t="s">
        <v>68</v>
      </c>
      <c r="E7" s="39" t="s">
        <v>51</v>
      </c>
      <c r="F7" s="40" t="s">
        <v>52</v>
      </c>
      <c r="G7" s="40">
        <v>30065</v>
      </c>
      <c r="H7" s="42" t="s">
        <v>69</v>
      </c>
      <c r="I7" s="43" t="s">
        <v>54</v>
      </c>
      <c r="J7" s="71">
        <v>202578</v>
      </c>
      <c r="K7" s="23"/>
      <c r="L7" s="45"/>
      <c r="M7" s="46"/>
      <c r="N7" s="46"/>
      <c r="O7" s="46"/>
      <c r="P7" s="46"/>
      <c r="Q7" s="46"/>
      <c r="R7" s="46"/>
      <c r="S7" s="46"/>
      <c r="T7" s="46"/>
      <c r="U7" s="46"/>
      <c r="V7" s="46"/>
      <c r="W7" s="46"/>
      <c r="X7" s="46"/>
      <c r="Y7" s="46"/>
      <c r="Z7" s="46"/>
      <c r="AA7" s="46"/>
      <c r="AB7" s="46"/>
      <c r="AC7" s="46"/>
      <c r="AD7" s="46"/>
      <c r="AE7" s="47"/>
      <c r="AF7" s="23"/>
      <c r="AG7" s="23"/>
    </row>
    <row r="8" spans="1:33" x14ac:dyDescent="0.25">
      <c r="A8" s="32">
        <v>5</v>
      </c>
      <c r="B8" s="42" t="s">
        <v>70</v>
      </c>
      <c r="C8" s="39" t="s">
        <v>71</v>
      </c>
      <c r="D8" s="39" t="s">
        <v>72</v>
      </c>
      <c r="E8" s="39" t="s">
        <v>51</v>
      </c>
      <c r="F8" s="40" t="s">
        <v>52</v>
      </c>
      <c r="G8" s="40">
        <v>30066</v>
      </c>
      <c r="H8" s="42" t="s">
        <v>73</v>
      </c>
      <c r="I8" s="43" t="s">
        <v>60</v>
      </c>
      <c r="J8" s="71">
        <v>177209</v>
      </c>
      <c r="K8" s="23"/>
      <c r="L8" s="45"/>
      <c r="M8" s="48" t="s">
        <v>40</v>
      </c>
      <c r="N8" s="46"/>
      <c r="O8" s="46"/>
      <c r="P8" t="str">
        <f>INDEX(C:C,(MATCH(TRUE,INDEX((C:C&lt;&gt;0),0,1),0)+(COUNTA(C:C)-1)),1)</f>
        <v>Carlton</v>
      </c>
      <c r="Q8" s="50"/>
      <c r="R8" s="50"/>
      <c r="S8" s="50"/>
      <c r="T8" s="50"/>
      <c r="U8" s="51"/>
      <c r="V8" s="46"/>
      <c r="W8" s="52" t="s">
        <v>43</v>
      </c>
      <c r="X8" s="46"/>
      <c r="Y8" t="str">
        <f>INDEX(F:F,(MATCH(TRUE,INDEX((F:F&lt;&gt;0),0,1),0)+(COUNTA(F:F)-1)),1)</f>
        <v xml:space="preserve">GA </v>
      </c>
      <c r="Z8" s="50"/>
      <c r="AA8" s="50"/>
      <c r="AB8" s="50"/>
      <c r="AC8" s="50"/>
      <c r="AD8" s="51"/>
      <c r="AE8" s="47"/>
      <c r="AF8" s="23"/>
      <c r="AG8" s="23"/>
    </row>
    <row r="9" spans="1:33" x14ac:dyDescent="0.25">
      <c r="A9" s="32">
        <v>6</v>
      </c>
      <c r="B9" s="39" t="s">
        <v>74</v>
      </c>
      <c r="C9" s="39" t="s">
        <v>75</v>
      </c>
      <c r="D9" s="39" t="s">
        <v>76</v>
      </c>
      <c r="E9" s="39" t="s">
        <v>77</v>
      </c>
      <c r="F9" s="40" t="s">
        <v>52</v>
      </c>
      <c r="G9" s="40">
        <v>30092</v>
      </c>
      <c r="H9" s="42" t="s">
        <v>78</v>
      </c>
      <c r="I9" s="43" t="s">
        <v>65</v>
      </c>
      <c r="J9" s="71">
        <v>212254.23</v>
      </c>
      <c r="K9" s="23"/>
      <c r="L9" s="45"/>
      <c r="M9" s="46"/>
      <c r="N9" s="46"/>
      <c r="O9" s="46"/>
      <c r="P9" s="46"/>
      <c r="Q9" s="46"/>
      <c r="R9" s="46"/>
      <c r="S9" s="46"/>
      <c r="T9" s="46"/>
      <c r="U9" s="46"/>
      <c r="V9" s="46"/>
      <c r="W9" s="46"/>
      <c r="X9" s="46"/>
      <c r="Y9" s="46"/>
      <c r="Z9" s="46"/>
      <c r="AA9" s="46"/>
      <c r="AB9" s="46"/>
      <c r="AC9" s="46"/>
      <c r="AD9" s="46"/>
      <c r="AE9" s="47"/>
      <c r="AF9" s="23"/>
      <c r="AG9" s="23"/>
    </row>
    <row r="10" spans="1:33" x14ac:dyDescent="0.25">
      <c r="A10" s="32">
        <v>7</v>
      </c>
      <c r="B10" s="39" t="s">
        <v>79</v>
      </c>
      <c r="C10" s="39" t="s">
        <v>80</v>
      </c>
      <c r="D10" s="39" t="s">
        <v>50</v>
      </c>
      <c r="E10" s="39" t="s">
        <v>81</v>
      </c>
      <c r="F10" s="40" t="s">
        <v>82</v>
      </c>
      <c r="G10" s="40">
        <v>30092</v>
      </c>
      <c r="H10" s="42" t="s">
        <v>53</v>
      </c>
      <c r="I10" s="43" t="s">
        <v>54</v>
      </c>
      <c r="J10" s="71">
        <v>124533.45</v>
      </c>
      <c r="K10" s="23"/>
      <c r="L10" s="45"/>
      <c r="M10" s="48" t="s">
        <v>41</v>
      </c>
      <c r="N10" s="46"/>
      <c r="O10" s="46"/>
      <c r="P10" t="str">
        <f>INDEX(D:D,(MATCH(TRUE,INDEX((D:D&lt;&gt;0),0,1),0)+(COUNTA(D:D)-1)),1)</f>
        <v>100 Peachtree Street</v>
      </c>
      <c r="Q10" s="50"/>
      <c r="R10" s="50"/>
      <c r="S10" s="50"/>
      <c r="T10" s="50"/>
      <c r="U10" s="51"/>
      <c r="V10" s="46"/>
      <c r="W10" s="52" t="s">
        <v>44</v>
      </c>
      <c r="X10" s="46"/>
      <c r="Y10" s="418">
        <f>INDEX(G:G,(MATCH(TRUE,INDEX((G:G&lt;&gt;0),0,1),0)+(COUNTA(G:G)-1)),1)</f>
        <v>30092</v>
      </c>
      <c r="Z10" s="419"/>
      <c r="AA10" s="419"/>
      <c r="AB10" s="419"/>
      <c r="AC10" s="419"/>
      <c r="AD10" s="420"/>
      <c r="AE10" s="47"/>
      <c r="AF10" s="23"/>
      <c r="AG10" s="23"/>
    </row>
    <row r="11" spans="1:33" x14ac:dyDescent="0.25">
      <c r="A11" s="32">
        <v>8</v>
      </c>
      <c r="B11" s="39"/>
      <c r="C11" s="42"/>
      <c r="D11" s="39"/>
      <c r="E11" s="39"/>
      <c r="F11" s="40"/>
      <c r="G11" s="40"/>
      <c r="H11" s="42"/>
      <c r="I11" s="43"/>
      <c r="J11" s="71"/>
      <c r="K11" s="23"/>
      <c r="L11" s="45"/>
      <c r="M11" s="46"/>
      <c r="N11" s="46"/>
      <c r="O11" s="46"/>
      <c r="P11" s="46"/>
      <c r="Q11" s="46"/>
      <c r="R11" s="46"/>
      <c r="S11" s="46"/>
      <c r="T11" s="46"/>
      <c r="U11" s="46"/>
      <c r="V11" s="46"/>
      <c r="W11" s="46"/>
      <c r="X11" s="46"/>
      <c r="Y11" s="46"/>
      <c r="Z11" s="46"/>
      <c r="AA11" s="46"/>
      <c r="AB11" s="46"/>
      <c r="AC11" s="46"/>
      <c r="AD11" s="46"/>
      <c r="AE11" s="47"/>
      <c r="AF11" s="23"/>
      <c r="AG11" s="23"/>
    </row>
    <row r="12" spans="1:33" x14ac:dyDescent="0.25">
      <c r="A12" s="32">
        <v>9</v>
      </c>
      <c r="B12" s="39"/>
      <c r="C12" s="39"/>
      <c r="D12" s="39"/>
      <c r="E12" s="39"/>
      <c r="F12" s="39"/>
      <c r="G12" s="39"/>
      <c r="H12" s="39"/>
      <c r="I12" s="40"/>
      <c r="J12" s="39"/>
      <c r="K12" s="23"/>
      <c r="L12" s="45"/>
      <c r="M12" s="52" t="s">
        <v>45</v>
      </c>
      <c r="N12" s="46"/>
      <c r="O12" s="46"/>
      <c r="P12" t="str">
        <f>INDEX(H:H,(MATCH(TRUE,INDEX((H:H&lt;&gt;0),0,1),0)+(COUNTA(H:H)-1)),1)</f>
        <v>770.842.5902</v>
      </c>
      <c r="Q12" s="50"/>
      <c r="R12" s="50"/>
      <c r="S12" s="50"/>
      <c r="T12" s="50"/>
      <c r="U12" s="51"/>
      <c r="V12" s="46"/>
      <c r="W12" s="60" t="s">
        <v>99</v>
      </c>
      <c r="X12" s="46"/>
      <c r="Y12" t="str">
        <f>INDEX(I:I,(MATCH(TRUE,INDEX((I:I&lt;&gt;0),0,1),0)+(COUNTA(I:I)-1)),1)</f>
        <v>Plan A</v>
      </c>
      <c r="Z12" s="50"/>
      <c r="AA12" s="50"/>
      <c r="AB12" s="50"/>
      <c r="AC12" s="50"/>
      <c r="AD12" s="51"/>
      <c r="AE12" s="47"/>
      <c r="AF12" s="23"/>
      <c r="AG12" s="23"/>
    </row>
    <row r="13" spans="1:33" x14ac:dyDescent="0.25">
      <c r="A13" s="32">
        <v>10</v>
      </c>
      <c r="B13" s="39"/>
      <c r="C13" s="39"/>
      <c r="D13" s="39"/>
      <c r="E13" s="39"/>
      <c r="F13" s="39"/>
      <c r="G13" s="39"/>
      <c r="H13" s="39"/>
      <c r="I13" s="40"/>
      <c r="J13" s="39"/>
      <c r="K13" s="23"/>
      <c r="L13" s="45"/>
      <c r="M13" s="46"/>
      <c r="N13" s="46"/>
      <c r="O13" s="46"/>
      <c r="P13" s="46"/>
      <c r="Q13" s="46"/>
      <c r="R13" s="46"/>
      <c r="S13" s="46"/>
      <c r="T13" s="46"/>
      <c r="U13" s="46"/>
      <c r="V13" s="46"/>
      <c r="W13" s="46"/>
      <c r="X13" s="46"/>
      <c r="Y13" s="46"/>
      <c r="Z13" s="46"/>
      <c r="AA13" s="46"/>
      <c r="AB13" s="46"/>
      <c r="AC13" s="46"/>
      <c r="AD13" s="46"/>
      <c r="AE13" s="47"/>
      <c r="AF13" s="23"/>
      <c r="AG13" s="23"/>
    </row>
    <row r="14" spans="1:33" x14ac:dyDescent="0.25">
      <c r="A14" s="32">
        <v>11</v>
      </c>
      <c r="B14" s="39"/>
      <c r="C14" s="39"/>
      <c r="D14" s="39"/>
      <c r="E14" s="39"/>
      <c r="F14" s="39"/>
      <c r="G14" s="39"/>
      <c r="H14" s="39"/>
      <c r="I14" s="40"/>
      <c r="J14" s="39"/>
      <c r="K14" s="23"/>
      <c r="L14" s="45"/>
      <c r="M14" s="52" t="s">
        <v>90</v>
      </c>
      <c r="N14" s="46"/>
      <c r="O14" s="46"/>
      <c r="P14" s="46"/>
      <c r="Q14" s="46"/>
      <c r="R14" s="46"/>
      <c r="S14" s="46"/>
      <c r="T14" s="46"/>
      <c r="U14" s="46"/>
      <c r="V14" s="46"/>
      <c r="W14" s="46"/>
      <c r="X14" s="46"/>
      <c r="Y14" s="421">
        <f>INDEX(J:J,(MATCH(TRUE,INDEX((J:J&lt;&gt;0),0,1),0)+(COUNTA(J:J)-1)),1)</f>
        <v>124533.45</v>
      </c>
      <c r="Z14" s="421"/>
      <c r="AA14" s="421"/>
      <c r="AB14" s="421"/>
      <c r="AC14" s="421"/>
      <c r="AD14" s="422"/>
      <c r="AE14" s="47"/>
      <c r="AF14" s="23"/>
      <c r="AG14" s="23"/>
    </row>
    <row r="15" spans="1:33" x14ac:dyDescent="0.25">
      <c r="A15" s="32">
        <v>12</v>
      </c>
      <c r="B15" s="39"/>
      <c r="C15" s="39"/>
      <c r="D15" s="39"/>
      <c r="E15" s="39"/>
      <c r="F15" s="39"/>
      <c r="G15" s="39"/>
      <c r="H15" s="39"/>
      <c r="I15" s="40"/>
      <c r="J15" s="39"/>
      <c r="K15" s="23"/>
      <c r="L15" s="45"/>
      <c r="M15" s="46"/>
      <c r="N15" s="46"/>
      <c r="O15" s="46"/>
      <c r="P15" s="46"/>
      <c r="Q15" s="46"/>
      <c r="R15" s="46"/>
      <c r="S15" s="46"/>
      <c r="T15" s="46"/>
      <c r="U15" s="46"/>
      <c r="V15" s="46"/>
      <c r="W15" s="46"/>
      <c r="X15" s="46"/>
      <c r="Y15" s="46"/>
      <c r="Z15" s="46"/>
      <c r="AA15" s="46"/>
      <c r="AB15" s="46"/>
      <c r="AC15" s="46"/>
      <c r="AD15" s="46"/>
      <c r="AE15" s="47"/>
      <c r="AF15" s="23"/>
      <c r="AG15" s="23"/>
    </row>
    <row r="16" spans="1:33" x14ac:dyDescent="0.25">
      <c r="A16" s="32">
        <v>13</v>
      </c>
      <c r="B16" s="39"/>
      <c r="C16" s="39"/>
      <c r="D16" s="39"/>
      <c r="E16" s="39"/>
      <c r="F16" s="39"/>
      <c r="G16" s="39"/>
      <c r="H16" s="39"/>
      <c r="I16" s="40"/>
      <c r="J16" s="39"/>
      <c r="K16" s="23"/>
      <c r="L16" s="303" t="s">
        <v>91</v>
      </c>
      <c r="M16" s="304"/>
      <c r="N16" s="304"/>
      <c r="O16" s="304"/>
      <c r="P16" s="304"/>
      <c r="Q16" s="304"/>
      <c r="R16" s="304"/>
      <c r="S16" s="304"/>
      <c r="T16" s="304"/>
      <c r="U16" s="304"/>
      <c r="V16" s="304"/>
      <c r="W16" s="304"/>
      <c r="X16" s="304"/>
      <c r="Y16" s="304"/>
      <c r="Z16" s="304"/>
      <c r="AA16" s="304"/>
      <c r="AB16" s="304"/>
      <c r="AC16" s="304"/>
      <c r="AD16" s="304"/>
      <c r="AE16" s="305"/>
      <c r="AF16" s="23"/>
      <c r="AG16" s="23"/>
    </row>
    <row r="17" spans="1:33" ht="16.5" thickBot="1" x14ac:dyDescent="0.3">
      <c r="A17" s="32">
        <v>14</v>
      </c>
      <c r="B17" s="39"/>
      <c r="C17" s="39"/>
      <c r="D17" s="39"/>
      <c r="E17" s="39"/>
      <c r="F17" s="39"/>
      <c r="G17" s="39"/>
      <c r="H17" s="39"/>
      <c r="I17" s="40"/>
      <c r="J17" s="39"/>
      <c r="K17" s="23"/>
      <c r="L17" s="61"/>
      <c r="M17" s="62"/>
      <c r="N17" s="62"/>
      <c r="O17" s="62"/>
      <c r="P17" s="62"/>
      <c r="Q17" s="62"/>
      <c r="R17" s="62"/>
      <c r="S17" s="62"/>
      <c r="T17" s="62"/>
      <c r="U17" s="62"/>
      <c r="V17" s="62"/>
      <c r="W17" s="62"/>
      <c r="X17" s="62"/>
      <c r="Y17" s="62"/>
      <c r="Z17" s="62"/>
      <c r="AA17" s="62"/>
      <c r="AB17" s="62"/>
      <c r="AC17" s="62"/>
      <c r="AD17" s="62"/>
      <c r="AE17" s="63"/>
      <c r="AF17" s="23"/>
      <c r="AG17" s="23"/>
    </row>
    <row r="18" spans="1:33" x14ac:dyDescent="0.25">
      <c r="A18" s="32">
        <v>15</v>
      </c>
      <c r="B18" s="39"/>
      <c r="C18" s="39"/>
      <c r="D18" s="39"/>
      <c r="E18" s="39"/>
      <c r="F18" s="39"/>
      <c r="G18" s="39"/>
      <c r="H18" s="39"/>
      <c r="I18" s="40"/>
      <c r="J18" s="39"/>
      <c r="K18" s="23"/>
      <c r="L18" s="23"/>
      <c r="M18" s="23"/>
      <c r="N18" s="23"/>
      <c r="O18" s="23"/>
      <c r="P18" s="23"/>
      <c r="Q18" s="23"/>
      <c r="R18" s="23"/>
      <c r="S18" s="23"/>
      <c r="T18" s="23"/>
      <c r="U18" s="23"/>
      <c r="V18" s="23"/>
      <c r="W18" s="23"/>
      <c r="X18" s="23"/>
      <c r="Y18" s="23"/>
      <c r="Z18" s="23"/>
      <c r="AA18" s="23"/>
      <c r="AB18" s="23"/>
      <c r="AC18" s="23"/>
      <c r="AD18" s="23"/>
      <c r="AE18" s="23"/>
      <c r="AF18" s="23"/>
      <c r="AG18" s="23"/>
    </row>
    <row r="19" spans="1:33" x14ac:dyDescent="0.25">
      <c r="A19" s="32">
        <v>16</v>
      </c>
      <c r="B19" s="39"/>
      <c r="C19" s="39"/>
      <c r="D19" s="39"/>
      <c r="E19" s="39"/>
      <c r="F19" s="39"/>
      <c r="G19" s="39"/>
      <c r="H19" s="39"/>
      <c r="I19" s="40"/>
      <c r="J19" s="39"/>
      <c r="K19" s="23"/>
      <c r="L19" s="23"/>
      <c r="M19" s="23"/>
      <c r="N19" s="23"/>
      <c r="O19" s="23"/>
      <c r="P19" s="23"/>
      <c r="Q19" s="23"/>
      <c r="R19" s="23"/>
      <c r="S19" s="23"/>
      <c r="T19" s="23"/>
      <c r="U19" s="23"/>
      <c r="V19" s="23"/>
      <c r="W19" s="23"/>
      <c r="X19" s="23"/>
      <c r="Y19" s="23"/>
      <c r="Z19" s="23"/>
      <c r="AA19" s="23"/>
      <c r="AB19" s="23"/>
      <c r="AC19" s="23"/>
      <c r="AD19" s="23"/>
      <c r="AE19" s="23"/>
      <c r="AF19" s="23"/>
      <c r="AG19" s="23"/>
    </row>
    <row r="20" spans="1:33" x14ac:dyDescent="0.25">
      <c r="A20" s="32">
        <v>17</v>
      </c>
      <c r="B20" s="39"/>
      <c r="C20" s="39"/>
      <c r="D20" s="39"/>
      <c r="E20" s="39"/>
      <c r="F20" s="39"/>
      <c r="G20" s="39"/>
      <c r="H20" s="39"/>
      <c r="I20" s="40"/>
      <c r="J20" s="39"/>
      <c r="K20" s="23"/>
      <c r="L20" s="23"/>
      <c r="M20" s="23"/>
      <c r="N20" s="23"/>
      <c r="O20" s="23"/>
      <c r="P20" s="23"/>
      <c r="Q20" s="23"/>
      <c r="R20" s="23"/>
      <c r="S20" s="23"/>
      <c r="T20" s="23"/>
      <c r="U20" s="23"/>
      <c r="V20" s="23"/>
      <c r="W20" s="23"/>
      <c r="X20" s="23"/>
      <c r="Y20" s="23"/>
      <c r="Z20" s="23"/>
      <c r="AA20" s="23"/>
      <c r="AB20" s="23"/>
      <c r="AC20" s="23"/>
      <c r="AD20" s="23"/>
      <c r="AE20" s="23"/>
      <c r="AF20" s="23"/>
      <c r="AG20" s="23"/>
    </row>
    <row r="21" spans="1:33" x14ac:dyDescent="0.25">
      <c r="A21" s="32">
        <v>18</v>
      </c>
      <c r="B21" s="39"/>
      <c r="C21" s="39"/>
      <c r="D21" s="39"/>
      <c r="E21" s="39"/>
      <c r="F21" s="39"/>
      <c r="G21" s="39"/>
      <c r="H21" s="39"/>
      <c r="I21" s="40"/>
      <c r="J21" s="39"/>
      <c r="K21" s="23"/>
      <c r="L21" s="23"/>
      <c r="M21" s="23"/>
      <c r="N21" s="23"/>
      <c r="O21" s="23"/>
      <c r="P21" s="23"/>
      <c r="Q21" s="23"/>
      <c r="R21" s="23"/>
      <c r="S21" s="23"/>
      <c r="T21" s="23"/>
      <c r="U21" s="23"/>
      <c r="V21" s="23"/>
      <c r="W21" s="23"/>
      <c r="X21" s="23"/>
      <c r="Y21" s="23"/>
      <c r="Z21" s="23"/>
      <c r="AA21" s="23"/>
      <c r="AB21" s="23"/>
      <c r="AC21" s="23"/>
      <c r="AD21" s="23"/>
      <c r="AE21" s="23"/>
      <c r="AF21" s="23"/>
      <c r="AG21" s="23"/>
    </row>
    <row r="22" spans="1:33" x14ac:dyDescent="0.25">
      <c r="A22" s="32">
        <v>19</v>
      </c>
      <c r="B22" s="39"/>
      <c r="C22" s="39"/>
      <c r="D22" s="39"/>
      <c r="E22" s="39"/>
      <c r="F22" s="39"/>
      <c r="G22" s="39"/>
      <c r="H22" s="39"/>
      <c r="I22" s="40"/>
      <c r="J22" s="39"/>
      <c r="K22" s="23"/>
      <c r="L22" s="23"/>
      <c r="M22" s="23"/>
      <c r="N22" s="23"/>
      <c r="O22" s="23"/>
      <c r="P22" s="23"/>
      <c r="Q22" s="23"/>
      <c r="R22" s="23"/>
      <c r="S22" s="23"/>
      <c r="T22" s="23"/>
      <c r="U22" s="23"/>
      <c r="V22" s="23"/>
      <c r="W22" s="23"/>
      <c r="X22" s="23"/>
      <c r="Y22" s="23"/>
      <c r="Z22" s="23"/>
      <c r="AA22" s="23"/>
      <c r="AB22" s="23"/>
      <c r="AC22" s="23"/>
      <c r="AD22" s="23"/>
      <c r="AE22" s="23"/>
      <c r="AF22" s="23"/>
      <c r="AG22" s="23"/>
    </row>
    <row r="23" spans="1:33" x14ac:dyDescent="0.25">
      <c r="A23" s="32">
        <v>20</v>
      </c>
      <c r="B23" s="39"/>
      <c r="C23" s="39"/>
      <c r="D23" s="39"/>
      <c r="E23" s="39"/>
      <c r="F23" s="39"/>
      <c r="G23" s="39"/>
      <c r="H23" s="39"/>
      <c r="I23" s="40"/>
      <c r="J23" s="39"/>
      <c r="K23" s="23"/>
      <c r="L23" s="23"/>
      <c r="M23" s="23"/>
      <c r="N23" s="23"/>
      <c r="O23" s="23"/>
      <c r="P23" s="23"/>
      <c r="Q23" s="23"/>
      <c r="R23" s="23"/>
      <c r="S23" s="23"/>
      <c r="T23" s="23"/>
      <c r="U23" s="23"/>
      <c r="V23" s="23"/>
      <c r="W23" s="23"/>
      <c r="X23" s="23"/>
      <c r="Y23" s="23"/>
      <c r="Z23" s="23"/>
      <c r="AA23" s="23"/>
      <c r="AB23" s="23"/>
      <c r="AC23" s="23"/>
      <c r="AD23" s="23"/>
      <c r="AE23" s="23"/>
      <c r="AF23" s="23"/>
      <c r="AG23" s="23"/>
    </row>
    <row r="24" spans="1:33" x14ac:dyDescent="0.25">
      <c r="A24" s="32">
        <v>21</v>
      </c>
      <c r="B24" s="39"/>
      <c r="C24" s="39"/>
      <c r="D24" s="39"/>
      <c r="E24" s="39"/>
      <c r="F24" s="39"/>
      <c r="G24" s="39"/>
      <c r="H24" s="39"/>
      <c r="I24" s="40"/>
      <c r="J24" s="39"/>
      <c r="K24" s="23"/>
      <c r="L24" s="23"/>
      <c r="M24" s="23"/>
      <c r="N24" s="23"/>
      <c r="O24" s="23"/>
      <c r="P24" s="23"/>
      <c r="Q24" s="23"/>
      <c r="R24" s="23"/>
      <c r="S24" s="23"/>
      <c r="T24" s="23"/>
      <c r="U24" s="23"/>
      <c r="V24" s="23"/>
      <c r="W24" s="23"/>
      <c r="X24" s="23"/>
      <c r="Y24" s="23"/>
      <c r="Z24" s="23"/>
      <c r="AA24" s="23"/>
      <c r="AB24" s="23"/>
      <c r="AC24" s="23"/>
      <c r="AD24" s="23"/>
      <c r="AE24" s="23"/>
      <c r="AF24" s="23"/>
      <c r="AG24" s="23"/>
    </row>
    <row r="25" spans="1:33" x14ac:dyDescent="0.25">
      <c r="A25" s="32">
        <v>22</v>
      </c>
      <c r="B25" s="39"/>
      <c r="C25" s="39"/>
      <c r="D25" s="39"/>
      <c r="E25" s="39"/>
      <c r="F25" s="39"/>
      <c r="G25" s="39"/>
      <c r="H25" s="39"/>
      <c r="I25" s="40"/>
      <c r="J25" s="39"/>
      <c r="K25" s="23"/>
      <c r="L25" s="23"/>
      <c r="M25" s="23"/>
      <c r="N25" s="23"/>
      <c r="O25" s="23"/>
      <c r="P25" s="23"/>
      <c r="Q25" s="23"/>
      <c r="R25" s="23"/>
      <c r="S25" s="23"/>
      <c r="T25" s="23"/>
      <c r="U25" s="23"/>
      <c r="V25" s="23"/>
      <c r="W25" s="23"/>
      <c r="X25" s="23"/>
      <c r="Y25" s="23"/>
      <c r="Z25" s="23"/>
      <c r="AA25" s="23"/>
      <c r="AB25" s="23"/>
      <c r="AC25" s="23"/>
      <c r="AD25" s="23"/>
      <c r="AE25" s="23"/>
      <c r="AF25" s="23"/>
      <c r="AG25" s="23"/>
    </row>
    <row r="26" spans="1:33" x14ac:dyDescent="0.25">
      <c r="A26" s="32">
        <v>23</v>
      </c>
      <c r="B26" s="39"/>
      <c r="C26" s="39"/>
      <c r="D26" s="39"/>
      <c r="E26" s="39"/>
      <c r="F26" s="39"/>
      <c r="G26" s="39"/>
      <c r="H26" s="39"/>
      <c r="I26" s="40"/>
      <c r="J26" s="39"/>
      <c r="K26" s="23"/>
      <c r="L26" s="23"/>
      <c r="M26" s="23"/>
      <c r="N26" s="23"/>
      <c r="O26" s="23"/>
      <c r="P26" s="23"/>
      <c r="Q26" s="23"/>
      <c r="R26" s="23"/>
      <c r="S26" s="23"/>
      <c r="T26" s="23"/>
      <c r="U26" s="23"/>
      <c r="V26" s="23"/>
      <c r="W26" s="23"/>
      <c r="X26" s="23"/>
      <c r="Y26" s="23"/>
      <c r="Z26" s="23"/>
      <c r="AA26" s="23"/>
      <c r="AB26" s="23"/>
      <c r="AC26" s="23"/>
      <c r="AD26" s="23"/>
      <c r="AE26" s="23"/>
      <c r="AF26" s="23"/>
      <c r="AG26" s="23"/>
    </row>
    <row r="27" spans="1:33" x14ac:dyDescent="0.25">
      <c r="A27" s="32">
        <v>24</v>
      </c>
      <c r="B27" s="39"/>
      <c r="C27" s="39"/>
      <c r="D27" s="39"/>
      <c r="E27" s="39"/>
      <c r="F27" s="39"/>
      <c r="G27" s="39"/>
      <c r="H27" s="39"/>
      <c r="I27" s="40"/>
      <c r="J27" s="39"/>
      <c r="K27" s="23"/>
      <c r="L27" s="23"/>
      <c r="M27" s="23"/>
      <c r="N27" s="23"/>
      <c r="O27" s="23"/>
      <c r="P27" s="23"/>
      <c r="Q27" s="23"/>
      <c r="R27" s="23"/>
      <c r="S27" s="23"/>
      <c r="T27" s="23"/>
      <c r="U27" s="23"/>
      <c r="V27" s="23"/>
      <c r="W27" s="23"/>
      <c r="X27" s="23"/>
      <c r="Y27" s="23"/>
      <c r="Z27" s="23"/>
      <c r="AA27" s="23"/>
      <c r="AB27" s="23"/>
      <c r="AC27" s="23"/>
      <c r="AD27" s="23"/>
      <c r="AE27" s="23"/>
      <c r="AF27" s="23"/>
      <c r="AG27" s="23"/>
    </row>
    <row r="28" spans="1:33" x14ac:dyDescent="0.25">
      <c r="A28" s="32">
        <v>25</v>
      </c>
      <c r="B28" s="39"/>
      <c r="C28" s="39"/>
      <c r="D28" s="39"/>
      <c r="E28" s="39"/>
      <c r="F28" s="39"/>
      <c r="G28" s="39"/>
      <c r="H28" s="39"/>
      <c r="I28" s="40"/>
      <c r="J28" s="39"/>
      <c r="K28" s="23"/>
      <c r="L28" s="23"/>
      <c r="M28" s="23"/>
      <c r="N28" s="23"/>
      <c r="O28" s="23"/>
      <c r="P28" s="23"/>
      <c r="Q28" s="23"/>
      <c r="R28" s="23"/>
      <c r="S28" s="23"/>
      <c r="T28" s="23"/>
      <c r="U28" s="23"/>
      <c r="V28" s="23"/>
      <c r="W28" s="23"/>
      <c r="X28" s="23"/>
      <c r="Y28" s="23"/>
      <c r="Z28" s="23"/>
      <c r="AA28" s="23"/>
      <c r="AB28" s="23"/>
      <c r="AC28" s="23"/>
      <c r="AD28" s="23"/>
      <c r="AE28" s="23"/>
      <c r="AF28" s="23"/>
      <c r="AG28" s="23"/>
    </row>
    <row r="29" spans="1:33" x14ac:dyDescent="0.25">
      <c r="A29" s="32">
        <v>26</v>
      </c>
      <c r="B29" s="39"/>
      <c r="C29" s="39"/>
      <c r="D29" s="39"/>
      <c r="E29" s="39"/>
      <c r="F29" s="39"/>
      <c r="G29" s="39"/>
      <c r="H29" s="39"/>
      <c r="I29" s="40"/>
      <c r="J29" s="39"/>
      <c r="K29" s="23"/>
      <c r="L29" s="23"/>
      <c r="M29" s="23"/>
      <c r="N29" s="23"/>
      <c r="O29" s="23"/>
      <c r="P29" s="23"/>
      <c r="Q29" s="23"/>
      <c r="R29" s="23"/>
      <c r="S29" s="23"/>
      <c r="T29" s="23"/>
      <c r="U29" s="23"/>
      <c r="V29" s="23"/>
      <c r="W29" s="23"/>
      <c r="X29" s="23"/>
      <c r="Y29" s="23"/>
      <c r="Z29" s="23"/>
      <c r="AA29" s="23"/>
      <c r="AB29" s="23"/>
      <c r="AC29" s="23"/>
      <c r="AD29" s="23"/>
      <c r="AE29" s="23"/>
      <c r="AF29" s="23"/>
      <c r="AG29" s="23"/>
    </row>
    <row r="30" spans="1:33" x14ac:dyDescent="0.25">
      <c r="A30" s="32">
        <v>27</v>
      </c>
      <c r="B30" s="39"/>
      <c r="C30" s="39"/>
      <c r="D30" s="39"/>
      <c r="E30" s="39"/>
      <c r="F30" s="39"/>
      <c r="G30" s="39"/>
      <c r="H30" s="39"/>
      <c r="I30" s="40"/>
      <c r="J30" s="39"/>
      <c r="K30" s="23"/>
      <c r="L30" s="23"/>
      <c r="M30" s="23"/>
      <c r="N30" s="23"/>
      <c r="O30" s="23"/>
      <c r="P30" s="23"/>
      <c r="Q30" s="23"/>
      <c r="R30" s="23"/>
      <c r="S30" s="23"/>
      <c r="T30" s="23"/>
      <c r="U30" s="23"/>
      <c r="V30" s="23"/>
      <c r="W30" s="23"/>
      <c r="X30" s="23"/>
      <c r="Y30" s="23"/>
      <c r="Z30" s="23"/>
      <c r="AA30" s="23"/>
      <c r="AB30" s="23"/>
      <c r="AC30" s="23"/>
      <c r="AD30" s="23"/>
      <c r="AE30" s="23"/>
      <c r="AF30" s="23"/>
      <c r="AG30" s="23"/>
    </row>
  </sheetData>
  <mergeCells count="4">
    <mergeCell ref="L4:AE4"/>
    <mergeCell ref="Y10:AD10"/>
    <mergeCell ref="Y14:AD14"/>
    <mergeCell ref="L16:AE16"/>
  </mergeCells>
  <pageMargins left="0.7" right="0.7" top="0.75" bottom="0.75" header="0.3" footer="0.3"/>
  <drawing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AG29"/>
  <sheetViews>
    <sheetView showGridLines="0" workbookViewId="0">
      <selection activeCell="O31" sqref="O31"/>
    </sheetView>
  </sheetViews>
  <sheetFormatPr defaultRowHeight="15.75" x14ac:dyDescent="0.25"/>
  <cols>
    <col min="1" max="1" width="7.875" bestFit="1" customWidth="1"/>
    <col min="2" max="3" width="10" bestFit="1" customWidth="1"/>
    <col min="4" max="4" width="19" bestFit="1" customWidth="1"/>
    <col min="5" max="5" width="8.375" bestFit="1" customWidth="1"/>
    <col min="6" max="6" width="5.375" bestFit="1" customWidth="1"/>
    <col min="7" max="7" width="5.875" bestFit="1" customWidth="1"/>
    <col min="8" max="8" width="11.875" bestFit="1" customWidth="1"/>
    <col min="9" max="9" width="11.875" customWidth="1"/>
    <col min="10" max="10" width="12.125" bestFit="1" customWidth="1"/>
    <col min="11" max="11" width="3.75" customWidth="1"/>
    <col min="12" max="24" width="3.625" customWidth="1"/>
    <col min="25" max="25" width="12.125" bestFit="1" customWidth="1"/>
    <col min="26" max="31" width="3.625" customWidth="1"/>
    <col min="32" max="32" width="3" customWidth="1"/>
  </cols>
  <sheetData>
    <row r="1" spans="1:33" x14ac:dyDescent="0.25">
      <c r="A1" s="16"/>
      <c r="B1" s="16"/>
      <c r="C1" s="16"/>
      <c r="D1" s="16"/>
      <c r="E1" s="16"/>
      <c r="F1" s="16"/>
      <c r="G1" s="16"/>
      <c r="H1" s="16"/>
      <c r="I1" s="16"/>
      <c r="J1" s="16"/>
      <c r="K1" s="16"/>
      <c r="L1" s="16"/>
      <c r="M1" s="16"/>
      <c r="N1" s="16"/>
      <c r="O1" s="16"/>
      <c r="P1" s="16"/>
      <c r="Q1" s="16"/>
      <c r="R1" s="16"/>
      <c r="S1" s="17">
        <f t="shared" ref="S1:AB1" si="0">VLOOKUP(MAX($A$3:$A$147),$A$3:$H$147,2)</f>
        <v>0</v>
      </c>
      <c r="T1" s="17">
        <f t="shared" si="0"/>
        <v>0</v>
      </c>
      <c r="U1" s="17">
        <f t="shared" si="0"/>
        <v>0</v>
      </c>
      <c r="V1" s="17">
        <f t="shared" si="0"/>
        <v>0</v>
      </c>
      <c r="W1" s="17">
        <f t="shared" si="0"/>
        <v>0</v>
      </c>
      <c r="X1" s="17">
        <f t="shared" si="0"/>
        <v>0</v>
      </c>
      <c r="Y1" s="17">
        <f t="shared" si="0"/>
        <v>0</v>
      </c>
      <c r="Z1" s="17">
        <f t="shared" si="0"/>
        <v>0</v>
      </c>
      <c r="AA1" s="17">
        <f t="shared" si="0"/>
        <v>0</v>
      </c>
      <c r="AB1" s="17">
        <f t="shared" si="0"/>
        <v>0</v>
      </c>
      <c r="AC1" s="18"/>
      <c r="AD1" s="18"/>
      <c r="AE1" s="18"/>
      <c r="AF1" s="18"/>
      <c r="AG1" s="18"/>
    </row>
    <row r="2" spans="1:33" ht="16.5" thickBot="1" x14ac:dyDescent="0.3">
      <c r="A2" s="73"/>
      <c r="B2" s="20"/>
      <c r="C2" s="20"/>
      <c r="D2" s="20"/>
      <c r="E2" s="20"/>
      <c r="F2" s="20"/>
      <c r="G2" s="20"/>
      <c r="H2" s="20"/>
      <c r="I2" s="22"/>
      <c r="J2" s="20"/>
      <c r="K2" s="215"/>
      <c r="L2" s="215"/>
      <c r="M2" s="215"/>
      <c r="N2" s="215"/>
      <c r="O2" s="215"/>
      <c r="P2" s="215"/>
      <c r="Q2" s="215"/>
      <c r="R2" s="215"/>
      <c r="S2" s="215"/>
      <c r="T2" s="215"/>
      <c r="U2" s="215"/>
      <c r="V2" s="215"/>
      <c r="W2" s="215"/>
      <c r="X2" s="215"/>
      <c r="Y2" s="215"/>
      <c r="Z2" s="215"/>
      <c r="AA2" s="215"/>
      <c r="AB2" s="215"/>
      <c r="AC2" s="215"/>
      <c r="AD2" s="215"/>
      <c r="AE2" s="215"/>
      <c r="AF2" s="215"/>
      <c r="AG2" s="215"/>
    </row>
    <row r="3" spans="1:33" x14ac:dyDescent="0.25">
      <c r="A3" s="68" t="s">
        <v>38</v>
      </c>
      <c r="B3" s="69" t="s">
        <v>39</v>
      </c>
      <c r="C3" s="69" t="s">
        <v>40</v>
      </c>
      <c r="D3" s="69" t="s">
        <v>41</v>
      </c>
      <c r="E3" s="68" t="s">
        <v>42</v>
      </c>
      <c r="F3" s="68" t="s">
        <v>43</v>
      </c>
      <c r="G3" s="68" t="s">
        <v>44</v>
      </c>
      <c r="H3" s="68" t="s">
        <v>45</v>
      </c>
      <c r="I3" s="68" t="s">
        <v>46</v>
      </c>
      <c r="J3" s="68" t="s">
        <v>47</v>
      </c>
      <c r="K3" s="215"/>
      <c r="L3" s="29"/>
      <c r="M3" s="30"/>
      <c r="N3" s="30"/>
      <c r="O3" s="30"/>
      <c r="P3" s="30"/>
      <c r="Q3" s="30"/>
      <c r="R3" s="30"/>
      <c r="S3" s="30"/>
      <c r="T3" s="30"/>
      <c r="U3" s="30"/>
      <c r="V3" s="30"/>
      <c r="W3" s="30"/>
      <c r="X3" s="30"/>
      <c r="Y3" s="30"/>
      <c r="Z3" s="30"/>
      <c r="AA3" s="30"/>
      <c r="AB3" s="30"/>
      <c r="AC3" s="30"/>
      <c r="AD3" s="30"/>
      <c r="AE3" s="31"/>
      <c r="AF3" s="215"/>
      <c r="AG3" s="215"/>
    </row>
    <row r="4" spans="1:33" x14ac:dyDescent="0.25">
      <c r="A4" s="32">
        <v>1</v>
      </c>
      <c r="B4" s="33" t="s">
        <v>48</v>
      </c>
      <c r="C4" s="34" t="s">
        <v>49</v>
      </c>
      <c r="D4" s="34" t="s">
        <v>50</v>
      </c>
      <c r="E4" s="34" t="s">
        <v>51</v>
      </c>
      <c r="F4" s="35" t="s">
        <v>52</v>
      </c>
      <c r="G4" s="35">
        <v>30062</v>
      </c>
      <c r="H4" s="33" t="s">
        <v>53</v>
      </c>
      <c r="I4" s="37" t="s">
        <v>54</v>
      </c>
      <c r="J4" s="70">
        <v>157665</v>
      </c>
      <c r="K4" s="215"/>
      <c r="L4" s="300" t="s">
        <v>55</v>
      </c>
      <c r="M4" s="301"/>
      <c r="N4" s="301"/>
      <c r="O4" s="301"/>
      <c r="P4" s="301"/>
      <c r="Q4" s="301"/>
      <c r="R4" s="301"/>
      <c r="S4" s="301"/>
      <c r="T4" s="301"/>
      <c r="U4" s="301"/>
      <c r="V4" s="301"/>
      <c r="W4" s="301"/>
      <c r="X4" s="301"/>
      <c r="Y4" s="301"/>
      <c r="Z4" s="301"/>
      <c r="AA4" s="301"/>
      <c r="AB4" s="301"/>
      <c r="AC4" s="301"/>
      <c r="AD4" s="301"/>
      <c r="AE4" s="302"/>
      <c r="AF4" s="215"/>
      <c r="AG4" s="215"/>
    </row>
    <row r="5" spans="1:33" x14ac:dyDescent="0.25">
      <c r="A5" s="32">
        <v>2</v>
      </c>
      <c r="B5" s="39" t="s">
        <v>56</v>
      </c>
      <c r="C5" s="39" t="s">
        <v>57</v>
      </c>
      <c r="D5" s="39" t="s">
        <v>58</v>
      </c>
      <c r="E5" s="39" t="s">
        <v>51</v>
      </c>
      <c r="F5" s="40" t="s">
        <v>52</v>
      </c>
      <c r="G5" s="40">
        <v>30063</v>
      </c>
      <c r="H5" s="42" t="s">
        <v>59</v>
      </c>
      <c r="I5" s="43" t="s">
        <v>60</v>
      </c>
      <c r="J5" s="71">
        <v>156340</v>
      </c>
      <c r="K5" s="215"/>
      <c r="L5" s="45"/>
      <c r="M5" s="46"/>
      <c r="N5" s="46"/>
      <c r="O5" s="46"/>
      <c r="P5" s="46"/>
      <c r="Q5" s="46"/>
      <c r="R5" s="46"/>
      <c r="S5" s="46"/>
      <c r="T5" s="46"/>
      <c r="U5" s="46"/>
      <c r="V5" s="46"/>
      <c r="W5" s="46"/>
      <c r="X5" s="46"/>
      <c r="Y5" s="46"/>
      <c r="Z5" s="46"/>
      <c r="AA5" s="46"/>
      <c r="AB5" s="46"/>
      <c r="AC5" s="46"/>
      <c r="AD5" s="46"/>
      <c r="AE5" s="47"/>
      <c r="AF5" s="215"/>
      <c r="AG5" s="215"/>
    </row>
    <row r="6" spans="1:33" x14ac:dyDescent="0.25">
      <c r="A6" s="32">
        <v>3</v>
      </c>
      <c r="B6" s="39" t="s">
        <v>61</v>
      </c>
      <c r="C6" s="42" t="s">
        <v>62</v>
      </c>
      <c r="D6" s="39" t="s">
        <v>63</v>
      </c>
      <c r="E6" s="39" t="s">
        <v>51</v>
      </c>
      <c r="F6" s="40" t="s">
        <v>52</v>
      </c>
      <c r="G6" s="40">
        <v>30064</v>
      </c>
      <c r="H6" s="42" t="s">
        <v>64</v>
      </c>
      <c r="I6" s="43" t="s">
        <v>65</v>
      </c>
      <c r="J6" s="71">
        <v>81480</v>
      </c>
      <c r="K6" s="215"/>
      <c r="L6" s="45"/>
      <c r="M6" s="48" t="s">
        <v>39</v>
      </c>
      <c r="N6" s="46"/>
      <c r="O6" s="46"/>
      <c r="P6" s="280" t="str">
        <f>LOOKUP(2,1/(B4:B104&lt;&gt;""),B4:B104)</f>
        <v>Collins</v>
      </c>
      <c r="Q6" s="277"/>
      <c r="R6" s="277"/>
      <c r="S6" s="277"/>
      <c r="T6" s="277"/>
      <c r="U6" s="278"/>
      <c r="V6" s="46"/>
      <c r="W6" s="52" t="s">
        <v>42</v>
      </c>
      <c r="X6" s="46"/>
      <c r="Y6" s="276" t="str">
        <f>LOOKUP(2,1/(E4:E104&lt;&gt;""),E4:E104)</f>
        <v>Norcross</v>
      </c>
      <c r="Z6" s="277"/>
      <c r="AA6" s="277"/>
      <c r="AB6" s="277"/>
      <c r="AC6" s="277"/>
      <c r="AD6" s="278"/>
      <c r="AE6" s="47"/>
      <c r="AF6" s="215"/>
      <c r="AG6" s="215"/>
    </row>
    <row r="7" spans="1:33" x14ac:dyDescent="0.25">
      <c r="A7" s="32">
        <v>4</v>
      </c>
      <c r="B7" s="39" t="s">
        <v>66</v>
      </c>
      <c r="C7" s="42" t="s">
        <v>67</v>
      </c>
      <c r="D7" s="39" t="s">
        <v>68</v>
      </c>
      <c r="E7" s="39" t="s">
        <v>51</v>
      </c>
      <c r="F7" s="40" t="s">
        <v>52</v>
      </c>
      <c r="G7" s="40">
        <v>30065</v>
      </c>
      <c r="H7" s="42" t="s">
        <v>69</v>
      </c>
      <c r="I7" s="43" t="s">
        <v>54</v>
      </c>
      <c r="J7" s="71">
        <v>202578</v>
      </c>
      <c r="K7" s="215"/>
      <c r="L7" s="45"/>
      <c r="M7" s="46"/>
      <c r="N7" s="46"/>
      <c r="O7" s="46"/>
      <c r="P7" s="46"/>
      <c r="Q7" s="46"/>
      <c r="R7" s="46"/>
      <c r="S7" s="46"/>
      <c r="T7" s="46"/>
      <c r="U7" s="46"/>
      <c r="V7" s="46"/>
      <c r="W7" s="46"/>
      <c r="X7" s="46"/>
      <c r="Y7" s="46"/>
      <c r="Z7" s="46"/>
      <c r="AA7" s="46"/>
      <c r="AB7" s="46"/>
      <c r="AC7" s="46"/>
      <c r="AD7" s="46"/>
      <c r="AE7" s="47"/>
      <c r="AF7" s="215"/>
      <c r="AG7" s="215"/>
    </row>
    <row r="8" spans="1:33" x14ac:dyDescent="0.25">
      <c r="A8" s="32">
        <v>5</v>
      </c>
      <c r="B8" s="42" t="s">
        <v>70</v>
      </c>
      <c r="C8" s="39" t="s">
        <v>71</v>
      </c>
      <c r="D8" s="39" t="s">
        <v>72</v>
      </c>
      <c r="E8" s="39" t="s">
        <v>51</v>
      </c>
      <c r="F8" s="40" t="s">
        <v>52</v>
      </c>
      <c r="G8" s="40">
        <v>30066</v>
      </c>
      <c r="H8" s="42" t="s">
        <v>73</v>
      </c>
      <c r="I8" s="43" t="s">
        <v>60</v>
      </c>
      <c r="J8" s="71">
        <v>177209</v>
      </c>
      <c r="K8" s="215"/>
      <c r="L8" s="45"/>
      <c r="M8" s="48" t="s">
        <v>40</v>
      </c>
      <c r="N8" s="46"/>
      <c r="O8" s="46"/>
      <c r="P8" s="276" t="str">
        <f>LOOKUP(2,1/(C4:C104&lt;&gt;""),C4:C104)</f>
        <v>Carlton</v>
      </c>
      <c r="Q8" s="277"/>
      <c r="R8" s="277"/>
      <c r="S8" s="277"/>
      <c r="T8" s="277"/>
      <c r="U8" s="278"/>
      <c r="V8" s="46"/>
      <c r="W8" s="52" t="s">
        <v>43</v>
      </c>
      <c r="X8" s="46"/>
      <c r="Y8" s="276" t="str">
        <f>LOOKUP(2,1/(F4:F104&lt;&gt;""),F4:F104)</f>
        <v xml:space="preserve">GA </v>
      </c>
      <c r="Z8" s="277"/>
      <c r="AA8" s="277"/>
      <c r="AB8" s="277"/>
      <c r="AC8" s="277"/>
      <c r="AD8" s="278"/>
      <c r="AE8" s="47"/>
      <c r="AF8" s="215"/>
      <c r="AG8" s="215"/>
    </row>
    <row r="9" spans="1:33" x14ac:dyDescent="0.25">
      <c r="A9" s="32">
        <v>6</v>
      </c>
      <c r="B9" s="39" t="s">
        <v>74</v>
      </c>
      <c r="C9" s="39" t="s">
        <v>75</v>
      </c>
      <c r="D9" s="39" t="s">
        <v>76</v>
      </c>
      <c r="E9" s="39" t="s">
        <v>77</v>
      </c>
      <c r="F9" s="40" t="s">
        <v>52</v>
      </c>
      <c r="G9" s="40">
        <v>30092</v>
      </c>
      <c r="H9" s="42" t="s">
        <v>78</v>
      </c>
      <c r="I9" s="43" t="s">
        <v>65</v>
      </c>
      <c r="J9" s="71">
        <v>212254.23</v>
      </c>
      <c r="K9" s="215"/>
      <c r="L9" s="45"/>
      <c r="M9" s="46"/>
      <c r="N9" s="46"/>
      <c r="O9" s="46"/>
      <c r="P9" s="46"/>
      <c r="Q9" s="46"/>
      <c r="R9" s="46"/>
      <c r="S9" s="46"/>
      <c r="T9" s="46"/>
      <c r="U9" s="46"/>
      <c r="V9" s="46"/>
      <c r="W9" s="46"/>
      <c r="X9" s="46"/>
      <c r="Y9" s="46"/>
      <c r="Z9" s="46"/>
      <c r="AA9" s="46"/>
      <c r="AB9" s="46"/>
      <c r="AC9" s="46"/>
      <c r="AD9" s="46"/>
      <c r="AE9" s="47"/>
      <c r="AF9" s="215"/>
      <c r="AG9" s="215"/>
    </row>
    <row r="10" spans="1:33" x14ac:dyDescent="0.25">
      <c r="A10" s="32">
        <v>7</v>
      </c>
      <c r="B10" s="39" t="s">
        <v>79</v>
      </c>
      <c r="C10" s="39" t="s">
        <v>80</v>
      </c>
      <c r="D10" s="39" t="s">
        <v>50</v>
      </c>
      <c r="E10" s="39" t="s">
        <v>81</v>
      </c>
      <c r="F10" s="40" t="s">
        <v>82</v>
      </c>
      <c r="G10" s="40">
        <v>30092</v>
      </c>
      <c r="H10" s="42" t="s">
        <v>53</v>
      </c>
      <c r="I10" s="43" t="s">
        <v>54</v>
      </c>
      <c r="J10" s="71">
        <v>124533.45</v>
      </c>
      <c r="K10" s="215"/>
      <c r="L10" s="45"/>
      <c r="M10" s="48" t="s">
        <v>41</v>
      </c>
      <c r="N10" s="46"/>
      <c r="O10" s="46"/>
      <c r="P10" s="276" t="str">
        <f>LOOKUP(2,1/(D4:D104&lt;&gt;""),D4:D104)</f>
        <v>100 Peachtree Street</v>
      </c>
      <c r="Q10" s="277"/>
      <c r="R10" s="277"/>
      <c r="S10" s="277"/>
      <c r="T10" s="277"/>
      <c r="U10" s="278"/>
      <c r="V10" s="46"/>
      <c r="W10" s="52" t="s">
        <v>44</v>
      </c>
      <c r="X10" s="46"/>
      <c r="Y10" s="281">
        <f>LOOKUP(2,1/(G4:G104&lt;&gt;""),G4:G104)</f>
        <v>30092</v>
      </c>
      <c r="Z10" s="277"/>
      <c r="AA10" s="277"/>
      <c r="AB10" s="277"/>
      <c r="AC10" s="277"/>
      <c r="AD10" s="278"/>
      <c r="AE10" s="47"/>
      <c r="AF10" s="215"/>
      <c r="AG10" s="215"/>
    </row>
    <row r="11" spans="1:33" x14ac:dyDescent="0.25">
      <c r="A11" s="32">
        <v>8</v>
      </c>
      <c r="B11" s="39"/>
      <c r="C11" s="39"/>
      <c r="D11" s="39"/>
      <c r="E11" s="39"/>
      <c r="F11" s="39"/>
      <c r="G11" s="39"/>
      <c r="H11" s="39"/>
      <c r="I11" s="40"/>
      <c r="J11" s="39"/>
      <c r="K11" s="215"/>
      <c r="L11" s="45"/>
      <c r="M11" s="46"/>
      <c r="N11" s="46"/>
      <c r="O11" s="46"/>
      <c r="P11" s="46"/>
      <c r="Q11" s="46"/>
      <c r="R11" s="46"/>
      <c r="S11" s="46"/>
      <c r="T11" s="46"/>
      <c r="U11" s="46"/>
      <c r="V11" s="46"/>
      <c r="W11" s="46"/>
      <c r="X11" s="46"/>
      <c r="Y11" s="46"/>
      <c r="Z11" s="46"/>
      <c r="AA11" s="46"/>
      <c r="AB11" s="46"/>
      <c r="AC11" s="46"/>
      <c r="AD11" s="46"/>
      <c r="AE11" s="47"/>
      <c r="AF11" s="215"/>
      <c r="AG11" s="215"/>
    </row>
    <row r="12" spans="1:33" x14ac:dyDescent="0.25">
      <c r="A12" s="32">
        <v>9</v>
      </c>
      <c r="B12" s="39"/>
      <c r="C12" s="39"/>
      <c r="D12" s="39"/>
      <c r="E12" s="39"/>
      <c r="F12" s="39"/>
      <c r="G12" s="39"/>
      <c r="H12" s="39"/>
      <c r="I12" s="40"/>
      <c r="J12" s="39"/>
      <c r="K12" s="215"/>
      <c r="L12" s="45"/>
      <c r="M12" s="52" t="s">
        <v>45</v>
      </c>
      <c r="N12" s="46"/>
      <c r="O12" s="46"/>
      <c r="P12" s="276" t="str">
        <f>LOOKUP(2,1/(H4:H104&lt;&gt;""),H4:H104)</f>
        <v>770.842.5902</v>
      </c>
      <c r="Q12" s="277"/>
      <c r="R12" s="277"/>
      <c r="S12" s="277"/>
      <c r="T12" s="277"/>
      <c r="U12" s="278"/>
      <c r="V12" s="46"/>
      <c r="W12" s="60" t="s">
        <v>99</v>
      </c>
      <c r="X12" s="46"/>
      <c r="Y12" s="276" t="str">
        <f>LOOKUP(2,1/(I4:I104&lt;&gt;""),I4:I104)</f>
        <v>Plan A</v>
      </c>
      <c r="Z12" s="277"/>
      <c r="AA12" s="277"/>
      <c r="AB12" s="277"/>
      <c r="AC12" s="277"/>
      <c r="AD12" s="278"/>
      <c r="AE12" s="47"/>
      <c r="AF12" s="215"/>
      <c r="AG12" s="215"/>
    </row>
    <row r="13" spans="1:33" x14ac:dyDescent="0.25">
      <c r="A13" s="32">
        <v>10</v>
      </c>
      <c r="B13" s="39"/>
      <c r="C13" s="39"/>
      <c r="D13" s="39"/>
      <c r="E13" s="39"/>
      <c r="F13" s="39"/>
      <c r="G13" s="39"/>
      <c r="H13" s="39"/>
      <c r="I13" s="40"/>
      <c r="J13" s="39"/>
      <c r="K13" s="215"/>
      <c r="L13" s="45"/>
      <c r="M13" s="46"/>
      <c r="N13" s="46"/>
      <c r="O13" s="46"/>
      <c r="P13" s="46"/>
      <c r="Q13" s="46"/>
      <c r="R13" s="46"/>
      <c r="S13" s="46"/>
      <c r="T13" s="46"/>
      <c r="U13" s="46"/>
      <c r="V13" s="46"/>
      <c r="W13" s="46"/>
      <c r="X13" s="46"/>
      <c r="Y13" s="46"/>
      <c r="Z13" s="46"/>
      <c r="AA13" s="46"/>
      <c r="AB13" s="46"/>
      <c r="AC13" s="46"/>
      <c r="AD13" s="46"/>
      <c r="AE13" s="47"/>
      <c r="AF13" s="215"/>
      <c r="AG13" s="215"/>
    </row>
    <row r="14" spans="1:33" x14ac:dyDescent="0.25">
      <c r="A14" s="32">
        <v>11</v>
      </c>
      <c r="B14" s="39"/>
      <c r="C14" s="39"/>
      <c r="D14" s="39"/>
      <c r="E14" s="39"/>
      <c r="F14" s="39"/>
      <c r="G14" s="39"/>
      <c r="H14" s="39"/>
      <c r="I14" s="40"/>
      <c r="J14" s="39"/>
      <c r="K14" s="215"/>
      <c r="L14" s="45"/>
      <c r="M14" s="52" t="s">
        <v>90</v>
      </c>
      <c r="N14" s="46"/>
      <c r="O14" s="46"/>
      <c r="P14" s="46"/>
      <c r="Q14" s="46"/>
      <c r="R14" s="46"/>
      <c r="S14" s="46"/>
      <c r="T14" s="46"/>
      <c r="U14" s="46"/>
      <c r="V14" s="46"/>
      <c r="W14" s="46"/>
      <c r="X14" s="46"/>
      <c r="Y14" s="282">
        <f>LOOKUP(2,1/(J4:J104&lt;&gt;""),J4:J104)</f>
        <v>124533.45</v>
      </c>
      <c r="Z14" s="277"/>
      <c r="AA14" s="277"/>
      <c r="AB14" s="277"/>
      <c r="AC14" s="277"/>
      <c r="AD14" s="278"/>
      <c r="AE14" s="47"/>
      <c r="AF14" s="215"/>
      <c r="AG14" s="215"/>
    </row>
    <row r="15" spans="1:33" x14ac:dyDescent="0.25">
      <c r="A15" s="32">
        <v>12</v>
      </c>
      <c r="B15" s="39"/>
      <c r="C15" s="39"/>
      <c r="D15" s="39"/>
      <c r="E15" s="39"/>
      <c r="F15" s="39"/>
      <c r="G15" s="39"/>
      <c r="H15" s="39"/>
      <c r="I15" s="40"/>
      <c r="J15" s="39"/>
      <c r="K15" s="215"/>
      <c r="L15" s="45"/>
      <c r="M15" s="46"/>
      <c r="N15" s="46"/>
      <c r="O15" s="46"/>
      <c r="P15" s="46"/>
      <c r="Q15" s="46"/>
      <c r="R15" s="46"/>
      <c r="S15" s="46"/>
      <c r="T15" s="46"/>
      <c r="U15" s="46"/>
      <c r="V15" s="46"/>
      <c r="W15" s="46"/>
      <c r="X15" s="46"/>
      <c r="Y15" s="46"/>
      <c r="Z15" s="46"/>
      <c r="AA15" s="46"/>
      <c r="AB15" s="46"/>
      <c r="AC15" s="46"/>
      <c r="AD15" s="46"/>
      <c r="AE15" s="47"/>
      <c r="AF15" s="215"/>
      <c r="AG15" s="215"/>
    </row>
    <row r="16" spans="1:33" x14ac:dyDescent="0.25">
      <c r="A16" s="32">
        <v>13</v>
      </c>
      <c r="B16" s="39"/>
      <c r="C16" s="39"/>
      <c r="D16" s="39"/>
      <c r="E16" s="39"/>
      <c r="F16" s="39"/>
      <c r="G16" s="39"/>
      <c r="H16" s="39"/>
      <c r="I16" s="40"/>
      <c r="J16" s="39"/>
      <c r="K16" s="215"/>
      <c r="L16" s="303" t="s">
        <v>91</v>
      </c>
      <c r="M16" s="304"/>
      <c r="N16" s="304"/>
      <c r="O16" s="304"/>
      <c r="P16" s="304"/>
      <c r="Q16" s="304"/>
      <c r="R16" s="304"/>
      <c r="S16" s="304"/>
      <c r="T16" s="304"/>
      <c r="U16" s="304"/>
      <c r="V16" s="304"/>
      <c r="W16" s="304"/>
      <c r="X16" s="304"/>
      <c r="Y16" s="304"/>
      <c r="Z16" s="304"/>
      <c r="AA16" s="304"/>
      <c r="AB16" s="304"/>
      <c r="AC16" s="304"/>
      <c r="AD16" s="304"/>
      <c r="AE16" s="305"/>
      <c r="AF16" s="215"/>
      <c r="AG16" s="215"/>
    </row>
    <row r="17" spans="1:33" ht="16.5" thickBot="1" x14ac:dyDescent="0.3">
      <c r="A17" s="32">
        <v>14</v>
      </c>
      <c r="B17" s="39"/>
      <c r="C17" s="39"/>
      <c r="D17" s="39"/>
      <c r="E17" s="39"/>
      <c r="F17" s="39"/>
      <c r="G17" s="39"/>
      <c r="H17" s="39"/>
      <c r="I17" s="40"/>
      <c r="J17" s="39"/>
      <c r="K17" s="215"/>
      <c r="L17" s="61"/>
      <c r="M17" s="62"/>
      <c r="N17" s="62"/>
      <c r="O17" s="62"/>
      <c r="P17" s="62"/>
      <c r="Q17" s="62"/>
      <c r="R17" s="62"/>
      <c r="S17" s="62"/>
      <c r="T17" s="62"/>
      <c r="U17" s="62"/>
      <c r="V17" s="62"/>
      <c r="W17" s="62"/>
      <c r="X17" s="62"/>
      <c r="Y17" s="62"/>
      <c r="Z17" s="62"/>
      <c r="AA17" s="62"/>
      <c r="AB17" s="62"/>
      <c r="AC17" s="62"/>
      <c r="AD17" s="62"/>
      <c r="AE17" s="63"/>
      <c r="AF17" s="215"/>
      <c r="AG17" s="215"/>
    </row>
    <row r="18" spans="1:33" x14ac:dyDescent="0.25">
      <c r="A18" s="32">
        <v>15</v>
      </c>
      <c r="B18" s="39"/>
      <c r="C18" s="39"/>
      <c r="D18" s="39"/>
      <c r="E18" s="39"/>
      <c r="F18" s="39"/>
      <c r="G18" s="39"/>
      <c r="H18" s="39"/>
      <c r="I18" s="40"/>
      <c r="J18" s="39"/>
      <c r="K18" s="215"/>
      <c r="L18" s="215"/>
      <c r="M18" s="215"/>
      <c r="N18" s="215"/>
      <c r="O18" s="215"/>
      <c r="P18" s="215"/>
      <c r="Q18" s="215"/>
      <c r="R18" s="215"/>
      <c r="S18" s="215"/>
      <c r="T18" s="215"/>
      <c r="U18" s="215"/>
      <c r="V18" s="215"/>
      <c r="W18" s="215"/>
      <c r="X18" s="215"/>
      <c r="Y18" s="215"/>
      <c r="Z18" s="215"/>
      <c r="AA18" s="215"/>
      <c r="AB18" s="215"/>
      <c r="AC18" s="215"/>
      <c r="AD18" s="215"/>
      <c r="AE18" s="215"/>
      <c r="AF18" s="215"/>
      <c r="AG18" s="215"/>
    </row>
    <row r="19" spans="1:33" x14ac:dyDescent="0.25">
      <c r="A19" s="32">
        <v>16</v>
      </c>
      <c r="B19" s="39"/>
      <c r="C19" s="39"/>
      <c r="D19" s="39"/>
      <c r="E19" s="39"/>
      <c r="F19" s="39"/>
      <c r="G19" s="39"/>
      <c r="H19" s="39"/>
      <c r="I19" s="40"/>
      <c r="J19" s="39"/>
      <c r="K19" s="215"/>
      <c r="L19" s="215"/>
      <c r="M19" s="215"/>
      <c r="N19" s="215"/>
      <c r="O19" s="215"/>
      <c r="P19" s="215"/>
      <c r="Q19" s="215"/>
      <c r="R19" s="215"/>
      <c r="S19" s="215"/>
      <c r="T19" s="215"/>
      <c r="U19" s="215"/>
      <c r="V19" s="215"/>
      <c r="W19" s="215"/>
      <c r="X19" s="215"/>
      <c r="Y19" s="215"/>
      <c r="Z19" s="215"/>
      <c r="AA19" s="215"/>
      <c r="AB19" s="215"/>
      <c r="AC19" s="215"/>
      <c r="AD19" s="215"/>
      <c r="AE19" s="215"/>
      <c r="AF19" s="215"/>
      <c r="AG19" s="215"/>
    </row>
    <row r="20" spans="1:33" x14ac:dyDescent="0.25">
      <c r="A20" s="32">
        <v>17</v>
      </c>
      <c r="B20" s="39"/>
      <c r="C20" s="39"/>
      <c r="D20" s="39"/>
      <c r="E20" s="39"/>
      <c r="F20" s="39"/>
      <c r="G20" s="39"/>
      <c r="H20" s="39"/>
      <c r="I20" s="40"/>
      <c r="J20" s="39"/>
      <c r="K20" s="215"/>
      <c r="L20" s="215"/>
      <c r="M20" s="215"/>
      <c r="N20" s="215"/>
      <c r="O20" s="215"/>
      <c r="P20" s="215"/>
      <c r="Q20" s="215"/>
      <c r="R20" s="215"/>
      <c r="S20" s="215"/>
      <c r="T20" s="215"/>
      <c r="U20" s="215"/>
      <c r="V20" s="215"/>
      <c r="W20" s="215"/>
      <c r="X20" s="215"/>
      <c r="Y20" s="215"/>
      <c r="Z20" s="215"/>
      <c r="AA20" s="215"/>
      <c r="AB20" s="215"/>
      <c r="AC20" s="215"/>
      <c r="AD20" s="215"/>
      <c r="AE20" s="215"/>
      <c r="AF20" s="215"/>
      <c r="AG20" s="215"/>
    </row>
    <row r="21" spans="1:33" x14ac:dyDescent="0.25">
      <c r="A21" s="32">
        <v>18</v>
      </c>
      <c r="B21" s="39"/>
      <c r="C21" s="39"/>
      <c r="D21" s="39"/>
      <c r="E21" s="39"/>
      <c r="F21" s="39"/>
      <c r="G21" s="39"/>
      <c r="H21" s="39"/>
      <c r="I21" s="40"/>
      <c r="J21" s="39"/>
      <c r="K21" s="215"/>
      <c r="L21" s="215"/>
      <c r="M21" s="215"/>
      <c r="N21" s="215"/>
      <c r="O21" s="215"/>
      <c r="P21" s="215"/>
      <c r="Q21" s="215"/>
      <c r="R21" s="215"/>
      <c r="S21" s="215"/>
      <c r="T21" s="215"/>
      <c r="U21" s="215"/>
      <c r="V21" s="215"/>
      <c r="W21" s="215"/>
      <c r="X21" s="215"/>
      <c r="Y21" s="215"/>
      <c r="Z21" s="215"/>
      <c r="AA21" s="215"/>
      <c r="AB21" s="215"/>
      <c r="AC21" s="215"/>
      <c r="AD21" s="215"/>
      <c r="AE21" s="215"/>
      <c r="AF21" s="215"/>
      <c r="AG21" s="215"/>
    </row>
    <row r="22" spans="1:33" x14ac:dyDescent="0.25">
      <c r="A22" s="32">
        <v>19</v>
      </c>
      <c r="B22" s="39"/>
      <c r="C22" s="39"/>
      <c r="D22" s="39"/>
      <c r="E22" s="39"/>
      <c r="F22" s="39"/>
      <c r="G22" s="39"/>
      <c r="H22" s="39"/>
      <c r="I22" s="40"/>
      <c r="J22" s="39"/>
      <c r="K22" s="215"/>
      <c r="L22" s="215"/>
      <c r="M22" s="215"/>
      <c r="N22" s="215"/>
      <c r="O22" s="215"/>
      <c r="P22" s="215"/>
      <c r="Q22" s="215"/>
      <c r="R22" s="215"/>
      <c r="S22" s="215"/>
      <c r="T22" s="215"/>
      <c r="U22" s="215"/>
      <c r="V22" s="215"/>
      <c r="W22" s="215"/>
      <c r="X22" s="215"/>
      <c r="Y22" s="215"/>
      <c r="Z22" s="215"/>
      <c r="AA22" s="215"/>
      <c r="AB22" s="215"/>
      <c r="AC22" s="215"/>
      <c r="AD22" s="215"/>
      <c r="AE22" s="215"/>
      <c r="AF22" s="215"/>
      <c r="AG22" s="215"/>
    </row>
    <row r="23" spans="1:33" x14ac:dyDescent="0.25">
      <c r="A23" s="32">
        <v>20</v>
      </c>
      <c r="B23" s="39"/>
      <c r="C23" s="39"/>
      <c r="D23" s="39"/>
      <c r="E23" s="39"/>
      <c r="F23" s="39"/>
      <c r="G23" s="39"/>
      <c r="H23" s="39"/>
      <c r="I23" s="40"/>
      <c r="J23" s="39"/>
      <c r="K23" s="215"/>
      <c r="L23" s="215"/>
      <c r="M23" s="215"/>
      <c r="N23" s="215"/>
      <c r="O23" s="215"/>
      <c r="P23" s="215"/>
      <c r="Q23" s="215"/>
      <c r="R23" s="215"/>
      <c r="S23" s="215"/>
      <c r="T23" s="215"/>
      <c r="U23" s="215"/>
      <c r="V23" s="215"/>
      <c r="W23" s="215"/>
      <c r="X23" s="215"/>
      <c r="Y23" s="215"/>
      <c r="Z23" s="215"/>
      <c r="AA23" s="215"/>
      <c r="AB23" s="215"/>
      <c r="AC23" s="215"/>
      <c r="AD23" s="215"/>
      <c r="AE23" s="215"/>
      <c r="AF23" s="215"/>
      <c r="AG23" s="215"/>
    </row>
    <row r="24" spans="1:33" x14ac:dyDescent="0.25">
      <c r="A24" s="32">
        <v>21</v>
      </c>
      <c r="B24" s="39"/>
      <c r="C24" s="39"/>
      <c r="D24" s="39"/>
      <c r="E24" s="39"/>
      <c r="F24" s="39"/>
      <c r="G24" s="39"/>
      <c r="H24" s="39"/>
      <c r="I24" s="40"/>
      <c r="J24" s="39"/>
      <c r="K24" s="215"/>
      <c r="L24" s="215"/>
      <c r="M24" s="215"/>
      <c r="N24" s="215"/>
      <c r="O24" s="215"/>
      <c r="P24" s="215"/>
      <c r="Q24" s="215"/>
      <c r="R24" s="215"/>
      <c r="S24" s="215"/>
      <c r="T24" s="215"/>
      <c r="U24" s="215"/>
      <c r="V24" s="215"/>
      <c r="W24" s="215"/>
      <c r="X24" s="215"/>
      <c r="Y24" s="215"/>
      <c r="Z24" s="215"/>
      <c r="AA24" s="215"/>
      <c r="AB24" s="215"/>
      <c r="AC24" s="215"/>
      <c r="AD24" s="215"/>
      <c r="AE24" s="215"/>
      <c r="AF24" s="215"/>
      <c r="AG24" s="215"/>
    </row>
    <row r="25" spans="1:33" x14ac:dyDescent="0.25">
      <c r="A25" s="32">
        <v>22</v>
      </c>
      <c r="B25" s="39"/>
      <c r="C25" s="39"/>
      <c r="D25" s="39"/>
      <c r="E25" s="39"/>
      <c r="F25" s="39"/>
      <c r="G25" s="39"/>
      <c r="H25" s="39"/>
      <c r="I25" s="40"/>
      <c r="J25" s="39"/>
      <c r="K25" s="215"/>
      <c r="L25" s="215"/>
      <c r="M25" s="215"/>
      <c r="N25" s="215"/>
      <c r="O25" s="215"/>
      <c r="P25" s="215"/>
      <c r="Q25" s="215"/>
      <c r="R25" s="215"/>
      <c r="S25" s="215"/>
      <c r="T25" s="215"/>
      <c r="U25" s="215"/>
      <c r="V25" s="215"/>
      <c r="W25" s="215"/>
      <c r="X25" s="215"/>
      <c r="Y25" s="215"/>
      <c r="Z25" s="215"/>
      <c r="AA25" s="215"/>
      <c r="AB25" s="215"/>
      <c r="AC25" s="215"/>
      <c r="AD25" s="215"/>
      <c r="AE25" s="215"/>
      <c r="AF25" s="215"/>
      <c r="AG25" s="215"/>
    </row>
    <row r="26" spans="1:33" x14ac:dyDescent="0.25">
      <c r="A26" s="32">
        <v>23</v>
      </c>
      <c r="B26" s="39"/>
      <c r="C26" s="39"/>
      <c r="D26" s="39"/>
      <c r="E26" s="39"/>
      <c r="F26" s="39"/>
      <c r="G26" s="39"/>
      <c r="H26" s="39"/>
      <c r="I26" s="40"/>
      <c r="J26" s="39"/>
      <c r="K26" s="215"/>
      <c r="L26" s="215"/>
      <c r="M26" s="215"/>
      <c r="N26" s="215"/>
      <c r="O26" s="215"/>
      <c r="P26" s="215"/>
      <c r="Q26" s="215"/>
      <c r="R26" s="215"/>
      <c r="S26" s="215"/>
      <c r="T26" s="215"/>
      <c r="U26" s="215"/>
      <c r="V26" s="215"/>
      <c r="W26" s="215"/>
      <c r="X26" s="215"/>
      <c r="Y26" s="215"/>
      <c r="Z26" s="215"/>
      <c r="AA26" s="215"/>
      <c r="AB26" s="215"/>
      <c r="AC26" s="215"/>
      <c r="AD26" s="215"/>
      <c r="AE26" s="215"/>
      <c r="AF26" s="215"/>
      <c r="AG26" s="215"/>
    </row>
    <row r="27" spans="1:33" x14ac:dyDescent="0.25">
      <c r="A27" s="32">
        <v>24</v>
      </c>
      <c r="B27" s="39"/>
      <c r="C27" s="39"/>
      <c r="D27" s="39"/>
      <c r="E27" s="39"/>
      <c r="F27" s="39"/>
      <c r="G27" s="39"/>
      <c r="H27" s="39"/>
      <c r="I27" s="40"/>
      <c r="J27" s="39"/>
      <c r="K27" s="215"/>
      <c r="L27" s="215"/>
      <c r="M27" s="215"/>
      <c r="N27" s="215"/>
      <c r="O27" s="215"/>
      <c r="P27" s="215"/>
      <c r="Q27" s="215"/>
      <c r="R27" s="215"/>
      <c r="S27" s="215"/>
      <c r="T27" s="215"/>
      <c r="U27" s="215"/>
      <c r="V27" s="215"/>
      <c r="W27" s="215"/>
      <c r="X27" s="215"/>
      <c r="Y27" s="215"/>
      <c r="Z27" s="215"/>
      <c r="AA27" s="215"/>
      <c r="AB27" s="215"/>
      <c r="AC27" s="215"/>
      <c r="AD27" s="215"/>
      <c r="AE27" s="215"/>
      <c r="AF27" s="215"/>
      <c r="AG27" s="215"/>
    </row>
    <row r="28" spans="1:33" x14ac:dyDescent="0.25">
      <c r="A28" s="32">
        <v>25</v>
      </c>
      <c r="B28" s="39"/>
      <c r="C28" s="39"/>
      <c r="D28" s="39"/>
      <c r="E28" s="39"/>
      <c r="F28" s="39"/>
      <c r="G28" s="39"/>
      <c r="H28" s="39"/>
      <c r="I28" s="40"/>
      <c r="J28" s="39"/>
      <c r="K28" s="215"/>
      <c r="L28" s="215"/>
      <c r="M28" s="215"/>
      <c r="N28" s="215"/>
      <c r="O28" s="215"/>
      <c r="P28" s="215"/>
      <c r="Q28" s="215"/>
      <c r="R28" s="215"/>
      <c r="S28" s="215"/>
      <c r="T28" s="215"/>
      <c r="U28" s="215"/>
      <c r="V28" s="215"/>
      <c r="W28" s="215"/>
      <c r="X28" s="215"/>
      <c r="Y28" s="215"/>
      <c r="Z28" s="215"/>
      <c r="AA28" s="215"/>
      <c r="AB28" s="215"/>
      <c r="AC28" s="215"/>
      <c r="AD28" s="215"/>
      <c r="AE28" s="215"/>
      <c r="AF28" s="215"/>
      <c r="AG28" s="215"/>
    </row>
    <row r="29" spans="1:33" x14ac:dyDescent="0.25">
      <c r="A29" s="32">
        <v>26</v>
      </c>
      <c r="B29" s="39"/>
      <c r="C29" s="39"/>
      <c r="D29" s="39"/>
      <c r="E29" s="39"/>
      <c r="F29" s="39"/>
      <c r="G29" s="39"/>
      <c r="H29" s="39"/>
      <c r="I29" s="40"/>
      <c r="J29" s="39"/>
      <c r="K29" s="215"/>
      <c r="L29" s="215"/>
      <c r="M29" s="215"/>
      <c r="N29" s="215"/>
      <c r="O29" s="215"/>
      <c r="P29" s="215"/>
      <c r="Q29" s="215"/>
      <c r="R29" s="215"/>
      <c r="S29" s="215"/>
      <c r="T29" s="215"/>
      <c r="U29" s="215"/>
      <c r="V29" s="215"/>
      <c r="W29" s="215"/>
      <c r="X29" s="215"/>
      <c r="Y29" s="215"/>
      <c r="Z29" s="215"/>
      <c r="AA29" s="215"/>
      <c r="AB29" s="215"/>
      <c r="AC29" s="215"/>
      <c r="AD29" s="215"/>
      <c r="AE29" s="215"/>
      <c r="AF29" s="215"/>
      <c r="AG29" s="215"/>
    </row>
  </sheetData>
  <mergeCells count="2">
    <mergeCell ref="L4:AE4"/>
    <mergeCell ref="L16:AE16"/>
  </mergeCells>
  <pageMargins left="0.7" right="0.7" top="0.75" bottom="0.75" header="0.3" footer="0.3"/>
  <drawing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dimension ref="A1:AG41"/>
  <sheetViews>
    <sheetView showGridLines="0" workbookViewId="0">
      <selection activeCell="O28" sqref="O28"/>
    </sheetView>
  </sheetViews>
  <sheetFormatPr defaultRowHeight="15.75" x14ac:dyDescent="0.25"/>
  <cols>
    <col min="1" max="1" width="7.875" bestFit="1" customWidth="1"/>
    <col min="2" max="3" width="10" bestFit="1" customWidth="1"/>
    <col min="4" max="4" width="19" bestFit="1" customWidth="1"/>
    <col min="5" max="5" width="8.375" bestFit="1" customWidth="1"/>
    <col min="6" max="6" width="5.375" bestFit="1" customWidth="1"/>
    <col min="7" max="7" width="5.875" bestFit="1" customWidth="1"/>
    <col min="8" max="8" width="11.875" bestFit="1" customWidth="1"/>
    <col min="9" max="9" width="11.875" customWidth="1"/>
    <col min="10" max="10" width="12.125" bestFit="1" customWidth="1"/>
    <col min="11" max="11" width="3.75" customWidth="1"/>
    <col min="12" max="31" width="3.625" customWidth="1"/>
    <col min="32" max="32" width="3" customWidth="1"/>
  </cols>
  <sheetData>
    <row r="1" spans="1:33" x14ac:dyDescent="0.25">
      <c r="A1" s="16"/>
      <c r="B1" s="16"/>
      <c r="C1" s="16"/>
      <c r="D1" s="16"/>
      <c r="E1" s="16"/>
      <c r="F1" s="16"/>
      <c r="G1" s="16"/>
      <c r="H1" s="16"/>
      <c r="I1" s="16"/>
      <c r="J1" s="16"/>
      <c r="K1" s="16"/>
      <c r="L1" s="16"/>
      <c r="M1" s="16"/>
      <c r="N1" s="16"/>
      <c r="O1" s="16"/>
      <c r="P1" s="16"/>
      <c r="Q1" s="16"/>
      <c r="R1" s="16"/>
      <c r="S1" s="17">
        <f t="shared" ref="S1:AB1" si="0">VLOOKUP(MAX($A$3:$A$107),$A$3:$H$107,2)</f>
        <v>0</v>
      </c>
      <c r="T1" s="17">
        <f t="shared" si="0"/>
        <v>0</v>
      </c>
      <c r="U1" s="17">
        <f t="shared" si="0"/>
        <v>0</v>
      </c>
      <c r="V1" s="17">
        <f t="shared" si="0"/>
        <v>0</v>
      </c>
      <c r="W1" s="17">
        <f t="shared" si="0"/>
        <v>0</v>
      </c>
      <c r="X1" s="17">
        <f t="shared" si="0"/>
        <v>0</v>
      </c>
      <c r="Y1" s="17">
        <f t="shared" si="0"/>
        <v>0</v>
      </c>
      <c r="Z1" s="17">
        <f t="shared" si="0"/>
        <v>0</v>
      </c>
      <c r="AA1" s="17">
        <f t="shared" si="0"/>
        <v>0</v>
      </c>
      <c r="AB1" s="17">
        <f t="shared" si="0"/>
        <v>0</v>
      </c>
      <c r="AC1" s="18"/>
      <c r="AD1" s="18"/>
      <c r="AE1" s="18"/>
      <c r="AF1" s="18"/>
      <c r="AG1" s="18"/>
    </row>
    <row r="2" spans="1:33" ht="16.5" thickBot="1" x14ac:dyDescent="0.3">
      <c r="A2" s="73"/>
      <c r="B2" s="20"/>
      <c r="C2" s="20"/>
      <c r="D2" s="20"/>
      <c r="E2" s="20"/>
      <c r="F2" s="20"/>
      <c r="G2" s="20"/>
      <c r="H2" s="20"/>
      <c r="I2" s="22"/>
      <c r="J2" s="20"/>
      <c r="K2" s="215"/>
      <c r="L2" s="215"/>
      <c r="M2" s="215"/>
      <c r="N2" s="215"/>
      <c r="O2" s="215"/>
      <c r="P2" s="215"/>
      <c r="Q2" s="215"/>
      <c r="R2" s="215"/>
      <c r="S2" s="215"/>
      <c r="T2" s="215"/>
      <c r="U2" s="215"/>
      <c r="V2" s="215"/>
      <c r="W2" s="215"/>
      <c r="X2" s="215"/>
      <c r="Y2" s="215"/>
      <c r="Z2" s="215"/>
      <c r="AA2" s="215"/>
      <c r="AB2" s="215"/>
      <c r="AC2" s="215"/>
      <c r="AD2" s="215"/>
      <c r="AE2" s="215"/>
      <c r="AF2" s="215"/>
      <c r="AG2" s="215"/>
    </row>
    <row r="3" spans="1:33" x14ac:dyDescent="0.25">
      <c r="A3" s="26" t="s">
        <v>38</v>
      </c>
      <c r="B3" s="25" t="s">
        <v>39</v>
      </c>
      <c r="C3" s="25" t="s">
        <v>40</v>
      </c>
      <c r="D3" s="25" t="s">
        <v>41</v>
      </c>
      <c r="E3" s="26" t="s">
        <v>42</v>
      </c>
      <c r="F3" s="26" t="s">
        <v>43</v>
      </c>
      <c r="G3" s="26" t="s">
        <v>44</v>
      </c>
      <c r="H3" s="26" t="s">
        <v>45</v>
      </c>
      <c r="I3" s="26" t="s">
        <v>46</v>
      </c>
      <c r="J3" s="28" t="s">
        <v>47</v>
      </c>
      <c r="K3" s="215"/>
      <c r="L3" s="29"/>
      <c r="M3" s="30"/>
      <c r="N3" s="30"/>
      <c r="O3" s="30"/>
      <c r="P3" s="30"/>
      <c r="Q3" s="30"/>
      <c r="R3" s="30"/>
      <c r="S3" s="30"/>
      <c r="T3" s="30"/>
      <c r="U3" s="30"/>
      <c r="V3" s="30"/>
      <c r="W3" s="30"/>
      <c r="X3" s="30"/>
      <c r="Y3" s="30"/>
      <c r="Z3" s="30"/>
      <c r="AA3" s="30"/>
      <c r="AB3" s="30"/>
      <c r="AC3" s="30"/>
      <c r="AD3" s="30"/>
      <c r="AE3" s="31"/>
      <c r="AF3" s="215"/>
      <c r="AG3" s="215"/>
    </row>
    <row r="4" spans="1:33" x14ac:dyDescent="0.25">
      <c r="A4" s="32">
        <v>1</v>
      </c>
      <c r="B4" s="33" t="s">
        <v>48</v>
      </c>
      <c r="C4" s="34" t="s">
        <v>49</v>
      </c>
      <c r="D4" s="34" t="s">
        <v>50</v>
      </c>
      <c r="E4" s="34" t="s">
        <v>51</v>
      </c>
      <c r="F4" s="35" t="s">
        <v>52</v>
      </c>
      <c r="G4" s="35">
        <v>30062</v>
      </c>
      <c r="H4" s="33" t="s">
        <v>53</v>
      </c>
      <c r="I4" s="37" t="s">
        <v>54</v>
      </c>
      <c r="J4" s="38">
        <v>157665</v>
      </c>
      <c r="K4" s="215"/>
      <c r="L4" s="300" t="s">
        <v>55</v>
      </c>
      <c r="M4" s="301"/>
      <c r="N4" s="301"/>
      <c r="O4" s="301"/>
      <c r="P4" s="301"/>
      <c r="Q4" s="301"/>
      <c r="R4" s="301"/>
      <c r="S4" s="301"/>
      <c r="T4" s="301"/>
      <c r="U4" s="301"/>
      <c r="V4" s="301"/>
      <c r="W4" s="301"/>
      <c r="X4" s="301"/>
      <c r="Y4" s="301"/>
      <c r="Z4" s="301"/>
      <c r="AA4" s="301"/>
      <c r="AB4" s="301"/>
      <c r="AC4" s="301"/>
      <c r="AD4" s="301"/>
      <c r="AE4" s="302"/>
      <c r="AF4" s="215"/>
      <c r="AG4" s="215"/>
    </row>
    <row r="5" spans="1:33" x14ac:dyDescent="0.25">
      <c r="A5" s="32">
        <v>2</v>
      </c>
      <c r="B5" s="39" t="s">
        <v>56</v>
      </c>
      <c r="C5" s="39" t="s">
        <v>57</v>
      </c>
      <c r="D5" s="39" t="s">
        <v>58</v>
      </c>
      <c r="E5" s="39" t="s">
        <v>51</v>
      </c>
      <c r="F5" s="40" t="s">
        <v>52</v>
      </c>
      <c r="G5" s="40">
        <v>30063</v>
      </c>
      <c r="H5" s="42" t="s">
        <v>59</v>
      </c>
      <c r="I5" s="43" t="s">
        <v>60</v>
      </c>
      <c r="J5" s="44">
        <v>156340</v>
      </c>
      <c r="K5" s="215"/>
      <c r="L5" s="45"/>
      <c r="M5" s="46"/>
      <c r="N5" s="46"/>
      <c r="O5" s="46"/>
      <c r="P5" s="46"/>
      <c r="Q5" s="46"/>
      <c r="R5" s="46"/>
      <c r="S5" s="46"/>
      <c r="T5" s="46"/>
      <c r="U5" s="46"/>
      <c r="V5" s="46"/>
      <c r="W5" s="46"/>
      <c r="X5" s="46"/>
      <c r="Y5" s="46"/>
      <c r="Z5" s="46"/>
      <c r="AA5" s="46"/>
      <c r="AB5" s="46"/>
      <c r="AC5" s="46"/>
      <c r="AD5" s="46"/>
      <c r="AE5" s="47"/>
      <c r="AF5" s="215"/>
      <c r="AG5" s="215"/>
    </row>
    <row r="6" spans="1:33" x14ac:dyDescent="0.25">
      <c r="A6" s="32">
        <v>3</v>
      </c>
      <c r="B6" s="39" t="s">
        <v>61</v>
      </c>
      <c r="C6" s="42" t="s">
        <v>62</v>
      </c>
      <c r="D6" s="39" t="s">
        <v>63</v>
      </c>
      <c r="E6" s="39" t="s">
        <v>51</v>
      </c>
      <c r="F6" s="40" t="s">
        <v>52</v>
      </c>
      <c r="G6" s="40">
        <v>30064</v>
      </c>
      <c r="H6" s="42" t="s">
        <v>64</v>
      </c>
      <c r="I6" s="43" t="s">
        <v>65</v>
      </c>
      <c r="J6" s="44">
        <v>81480</v>
      </c>
      <c r="K6" s="215"/>
      <c r="L6" s="45"/>
      <c r="M6" s="48" t="s">
        <v>39</v>
      </c>
      <c r="N6" s="46"/>
      <c r="O6" s="46"/>
      <c r="P6" s="276" t="str">
        <f>'[2]Pivot table'!B2</f>
        <v>Collins</v>
      </c>
      <c r="Q6" s="277"/>
      <c r="R6" s="277"/>
      <c r="S6" s="277"/>
      <c r="T6" s="277"/>
      <c r="U6" s="278"/>
      <c r="V6" s="46"/>
      <c r="W6" s="52" t="s">
        <v>42</v>
      </c>
      <c r="X6" s="46"/>
      <c r="Y6" s="276" t="str">
        <f>'[2]Pivot table'!E2</f>
        <v>Norcross</v>
      </c>
      <c r="Z6" s="277"/>
      <c r="AA6" s="277"/>
      <c r="AB6" s="277"/>
      <c r="AC6" s="277"/>
      <c r="AD6" s="278"/>
      <c r="AE6" s="47"/>
      <c r="AF6" s="215"/>
      <c r="AG6" s="215"/>
    </row>
    <row r="7" spans="1:33" x14ac:dyDescent="0.25">
      <c r="A7" s="32">
        <v>4</v>
      </c>
      <c r="B7" s="39" t="s">
        <v>66</v>
      </c>
      <c r="C7" s="42" t="s">
        <v>67</v>
      </c>
      <c r="D7" s="39" t="s">
        <v>68</v>
      </c>
      <c r="E7" s="39" t="s">
        <v>51</v>
      </c>
      <c r="F7" s="40" t="s">
        <v>52</v>
      </c>
      <c r="G7" s="40">
        <v>30065</v>
      </c>
      <c r="H7" s="42" t="s">
        <v>69</v>
      </c>
      <c r="I7" s="43" t="s">
        <v>54</v>
      </c>
      <c r="J7" s="44">
        <v>202578</v>
      </c>
      <c r="K7" s="215"/>
      <c r="L7" s="45"/>
      <c r="M7" s="46"/>
      <c r="N7" s="46"/>
      <c r="O7" s="46"/>
      <c r="P7" s="46"/>
      <c r="Q7" s="46"/>
      <c r="R7" s="46"/>
      <c r="S7" s="46"/>
      <c r="T7" s="46"/>
      <c r="U7" s="46"/>
      <c r="V7" s="46"/>
      <c r="W7" s="46"/>
      <c r="X7" s="46"/>
      <c r="Y7" s="46"/>
      <c r="Z7" s="46"/>
      <c r="AA7" s="46"/>
      <c r="AB7" s="46"/>
      <c r="AC7" s="46"/>
      <c r="AD7" s="46"/>
      <c r="AE7" s="47"/>
      <c r="AF7" s="215"/>
      <c r="AG7" s="215"/>
    </row>
    <row r="8" spans="1:33" x14ac:dyDescent="0.25">
      <c r="A8" s="32">
        <v>5</v>
      </c>
      <c r="B8" s="42" t="s">
        <v>70</v>
      </c>
      <c r="C8" s="39" t="s">
        <v>71</v>
      </c>
      <c r="D8" s="39" t="s">
        <v>72</v>
      </c>
      <c r="E8" s="39" t="s">
        <v>51</v>
      </c>
      <c r="F8" s="40" t="s">
        <v>52</v>
      </c>
      <c r="G8" s="40">
        <v>30066</v>
      </c>
      <c r="H8" s="42" t="s">
        <v>73</v>
      </c>
      <c r="I8" s="43" t="s">
        <v>60</v>
      </c>
      <c r="J8" s="44">
        <v>177209</v>
      </c>
      <c r="K8" s="215"/>
      <c r="L8" s="45"/>
      <c r="M8" s="48" t="s">
        <v>40</v>
      </c>
      <c r="N8" s="46"/>
      <c r="O8" s="46"/>
      <c r="P8" s="276" t="str">
        <f>'[2]Pivot table'!C2</f>
        <v>Carlton</v>
      </c>
      <c r="Q8" s="277"/>
      <c r="R8" s="277"/>
      <c r="S8" s="277"/>
      <c r="T8" s="277"/>
      <c r="U8" s="278"/>
      <c r="V8" s="46"/>
      <c r="W8" s="52" t="s">
        <v>43</v>
      </c>
      <c r="X8" s="46"/>
      <c r="Y8" s="276" t="str">
        <f>'[2]Pivot table'!F2</f>
        <v xml:space="preserve">GA </v>
      </c>
      <c r="Z8" s="277"/>
      <c r="AA8" s="277"/>
      <c r="AB8" s="277"/>
      <c r="AC8" s="277"/>
      <c r="AD8" s="278"/>
      <c r="AE8" s="47"/>
      <c r="AF8" s="215"/>
      <c r="AG8" s="215"/>
    </row>
    <row r="9" spans="1:33" x14ac:dyDescent="0.25">
      <c r="A9" s="32">
        <v>6</v>
      </c>
      <c r="B9" s="39" t="s">
        <v>74</v>
      </c>
      <c r="C9" s="39" t="s">
        <v>75</v>
      </c>
      <c r="D9" s="39" t="s">
        <v>76</v>
      </c>
      <c r="E9" s="39" t="s">
        <v>77</v>
      </c>
      <c r="F9" s="40" t="s">
        <v>52</v>
      </c>
      <c r="G9" s="40">
        <v>30092</v>
      </c>
      <c r="H9" s="42" t="s">
        <v>78</v>
      </c>
      <c r="I9" s="43" t="s">
        <v>65</v>
      </c>
      <c r="J9" s="44">
        <v>212254.23</v>
      </c>
      <c r="K9" s="215"/>
      <c r="L9" s="45"/>
      <c r="M9" s="46"/>
      <c r="N9" s="46"/>
      <c r="O9" s="46"/>
      <c r="P9" s="46"/>
      <c r="Q9" s="46"/>
      <c r="R9" s="46"/>
      <c r="S9" s="46"/>
      <c r="T9" s="46"/>
      <c r="U9" s="46"/>
      <c r="V9" s="46"/>
      <c r="W9" s="46"/>
      <c r="X9" s="46"/>
      <c r="Y9" s="46"/>
      <c r="Z9" s="46"/>
      <c r="AA9" s="46"/>
      <c r="AB9" s="46"/>
      <c r="AC9" s="46"/>
      <c r="AD9" s="46"/>
      <c r="AE9" s="47"/>
      <c r="AF9" s="215"/>
      <c r="AG9" s="215"/>
    </row>
    <row r="10" spans="1:33" x14ac:dyDescent="0.25">
      <c r="A10" s="32">
        <v>7</v>
      </c>
      <c r="B10" s="39" t="s">
        <v>79</v>
      </c>
      <c r="C10" s="39" t="s">
        <v>80</v>
      </c>
      <c r="D10" s="39" t="s">
        <v>50</v>
      </c>
      <c r="E10" s="39" t="s">
        <v>81</v>
      </c>
      <c r="F10" s="40" t="s">
        <v>82</v>
      </c>
      <c r="G10" s="40">
        <v>30092</v>
      </c>
      <c r="H10" s="42" t="s">
        <v>53</v>
      </c>
      <c r="I10" s="43" t="s">
        <v>54</v>
      </c>
      <c r="J10" s="44">
        <v>124533.45</v>
      </c>
      <c r="K10" s="215"/>
      <c r="L10" s="45"/>
      <c r="M10" s="48" t="s">
        <v>41</v>
      </c>
      <c r="N10" s="46"/>
      <c r="O10" s="46"/>
      <c r="P10" s="276" t="str">
        <f>'[2]Pivot table'!D2</f>
        <v>100 Peachtree Street</v>
      </c>
      <c r="Q10" s="277"/>
      <c r="R10" s="277"/>
      <c r="S10" s="277"/>
      <c r="T10" s="277"/>
      <c r="U10" s="278"/>
      <c r="V10" s="46"/>
      <c r="W10" s="52" t="s">
        <v>44</v>
      </c>
      <c r="X10" s="46"/>
      <c r="Y10" s="276" t="str">
        <f>TEXT('[2]Pivot table'!G2,0)</f>
        <v>30092</v>
      </c>
      <c r="Z10" s="277"/>
      <c r="AA10" s="277"/>
      <c r="AB10" s="277"/>
      <c r="AC10" s="277"/>
      <c r="AD10" s="278"/>
      <c r="AE10" s="47"/>
      <c r="AF10" s="215"/>
      <c r="AG10" s="215"/>
    </row>
    <row r="11" spans="1:33" x14ac:dyDescent="0.25">
      <c r="A11" s="32">
        <v>8</v>
      </c>
      <c r="B11" s="39"/>
      <c r="C11" s="39"/>
      <c r="D11" s="39"/>
      <c r="E11" s="39"/>
      <c r="F11" s="40"/>
      <c r="G11" s="40"/>
      <c r="H11" s="42"/>
      <c r="I11" s="43"/>
      <c r="J11" s="44"/>
      <c r="K11" s="215"/>
      <c r="L11" s="45"/>
      <c r="M11" s="46"/>
      <c r="N11" s="46"/>
      <c r="O11" s="46"/>
      <c r="P11" s="46"/>
      <c r="Q11" s="46"/>
      <c r="R11" s="46"/>
      <c r="S11" s="46"/>
      <c r="T11" s="46"/>
      <c r="U11" s="46"/>
      <c r="V11" s="46"/>
      <c r="W11" s="46"/>
      <c r="X11" s="46"/>
      <c r="Y11" s="46"/>
      <c r="Z11" s="46"/>
      <c r="AA11" s="46"/>
      <c r="AB11" s="46"/>
      <c r="AC11" s="46"/>
      <c r="AD11" s="46"/>
      <c r="AE11" s="47"/>
      <c r="AF11" s="215"/>
      <c r="AG11" s="215"/>
    </row>
    <row r="12" spans="1:33" x14ac:dyDescent="0.25">
      <c r="A12" s="32">
        <v>9</v>
      </c>
      <c r="B12" s="33"/>
      <c r="C12" s="34"/>
      <c r="D12" s="34"/>
      <c r="E12" s="34"/>
      <c r="F12" s="35"/>
      <c r="G12" s="35"/>
      <c r="H12" s="33"/>
      <c r="I12" s="37"/>
      <c r="J12" s="38"/>
      <c r="K12" s="215"/>
      <c r="L12" s="45"/>
      <c r="M12" s="52" t="s">
        <v>45</v>
      </c>
      <c r="N12" s="46"/>
      <c r="O12" s="46"/>
      <c r="P12" s="276" t="str">
        <f>'[2]Pivot table'!H2</f>
        <v>770.842.5902</v>
      </c>
      <c r="Q12" s="277"/>
      <c r="R12" s="277"/>
      <c r="S12" s="277"/>
      <c r="T12" s="277"/>
      <c r="U12" s="278"/>
      <c r="V12" s="46"/>
      <c r="W12" s="60" t="s">
        <v>99</v>
      </c>
      <c r="X12" s="46"/>
      <c r="Y12" s="276" t="str">
        <f>'[2]Pivot table'!I2</f>
        <v>Plan A</v>
      </c>
      <c r="Z12" s="277"/>
      <c r="AA12" s="277"/>
      <c r="AB12" s="277"/>
      <c r="AC12" s="277"/>
      <c r="AD12" s="278"/>
      <c r="AE12" s="47"/>
      <c r="AF12" s="215"/>
      <c r="AG12" s="215"/>
    </row>
    <row r="13" spans="1:33" x14ac:dyDescent="0.25">
      <c r="A13" s="32">
        <v>10</v>
      </c>
      <c r="B13" s="39"/>
      <c r="C13" s="39"/>
      <c r="D13" s="39"/>
      <c r="E13" s="39"/>
      <c r="F13" s="39"/>
      <c r="G13" s="39"/>
      <c r="H13" s="39"/>
      <c r="I13" s="40"/>
      <c r="J13" s="299"/>
      <c r="K13" s="215"/>
      <c r="L13" s="45"/>
      <c r="M13" s="46"/>
      <c r="N13" s="46"/>
      <c r="O13" s="46"/>
      <c r="P13" s="46"/>
      <c r="Q13" s="46"/>
      <c r="R13" s="46"/>
      <c r="S13" s="46"/>
      <c r="T13" s="46"/>
      <c r="U13" s="46"/>
      <c r="V13" s="46"/>
      <c r="W13" s="46"/>
      <c r="X13" s="46"/>
      <c r="Y13" s="46"/>
      <c r="Z13" s="46"/>
      <c r="AA13" s="46"/>
      <c r="AB13" s="46"/>
      <c r="AC13" s="46"/>
      <c r="AD13" s="46"/>
      <c r="AE13" s="47"/>
      <c r="AF13" s="215"/>
      <c r="AG13" s="215"/>
    </row>
    <row r="14" spans="1:33" x14ac:dyDescent="0.25">
      <c r="A14" s="32">
        <v>11</v>
      </c>
      <c r="B14" s="39"/>
      <c r="C14" s="39"/>
      <c r="D14" s="39"/>
      <c r="E14" s="39"/>
      <c r="F14" s="39"/>
      <c r="G14" s="39"/>
      <c r="H14" s="39"/>
      <c r="I14" s="40"/>
      <c r="J14" s="299"/>
      <c r="K14" s="215"/>
      <c r="L14" s="45"/>
      <c r="M14" s="52" t="s">
        <v>90</v>
      </c>
      <c r="N14" s="46"/>
      <c r="O14" s="46"/>
      <c r="P14" s="46"/>
      <c r="Q14" s="46"/>
      <c r="R14" s="46"/>
      <c r="S14" s="46"/>
      <c r="T14" s="46"/>
      <c r="U14" s="46"/>
      <c r="V14" s="46"/>
      <c r="W14" s="46"/>
      <c r="X14" s="46"/>
      <c r="Y14" s="276" t="str">
        <f>TEXT('[2]Pivot table'!J2,"$#,###.##")</f>
        <v>$124,533.45</v>
      </c>
      <c r="Z14" s="277"/>
      <c r="AA14" s="277"/>
      <c r="AB14" s="277"/>
      <c r="AC14" s="277"/>
      <c r="AD14" s="278"/>
      <c r="AE14" s="47"/>
      <c r="AF14" s="215"/>
      <c r="AG14" s="215"/>
    </row>
    <row r="15" spans="1:33" x14ac:dyDescent="0.25">
      <c r="A15" s="32">
        <v>12</v>
      </c>
      <c r="B15" s="39"/>
      <c r="C15" s="39"/>
      <c r="D15" s="39"/>
      <c r="E15" s="39"/>
      <c r="F15" s="39"/>
      <c r="G15" s="39"/>
      <c r="H15" s="39"/>
      <c r="I15" s="40"/>
      <c r="J15" s="299"/>
      <c r="K15" s="215"/>
      <c r="L15" s="45"/>
      <c r="M15" s="46"/>
      <c r="N15" s="46"/>
      <c r="O15" s="46"/>
      <c r="P15" s="46"/>
      <c r="Q15" s="46"/>
      <c r="R15" s="46"/>
      <c r="S15" s="46"/>
      <c r="T15" s="46"/>
      <c r="U15" s="46"/>
      <c r="V15" s="46"/>
      <c r="W15" s="46"/>
      <c r="X15" s="46"/>
      <c r="Y15" s="46"/>
      <c r="Z15" s="46"/>
      <c r="AA15" s="46"/>
      <c r="AB15" s="46"/>
      <c r="AC15" s="46"/>
      <c r="AD15" s="46"/>
      <c r="AE15" s="47"/>
      <c r="AF15" s="215"/>
      <c r="AG15" s="215"/>
    </row>
    <row r="16" spans="1:33" x14ac:dyDescent="0.25">
      <c r="A16" s="32">
        <v>13</v>
      </c>
      <c r="B16" s="39"/>
      <c r="C16" s="39"/>
      <c r="D16" s="39"/>
      <c r="E16" s="39"/>
      <c r="F16" s="39"/>
      <c r="G16" s="39"/>
      <c r="H16" s="39"/>
      <c r="I16" s="40"/>
      <c r="J16" s="299"/>
      <c r="K16" s="215"/>
      <c r="L16" s="303" t="s">
        <v>91</v>
      </c>
      <c r="M16" s="304"/>
      <c r="N16" s="304"/>
      <c r="O16" s="304"/>
      <c r="P16" s="304"/>
      <c r="Q16" s="304"/>
      <c r="R16" s="304"/>
      <c r="S16" s="304"/>
      <c r="T16" s="304"/>
      <c r="U16" s="304"/>
      <c r="V16" s="304"/>
      <c r="W16" s="304"/>
      <c r="X16" s="304"/>
      <c r="Y16" s="304"/>
      <c r="Z16" s="304"/>
      <c r="AA16" s="304"/>
      <c r="AB16" s="304"/>
      <c r="AC16" s="304"/>
      <c r="AD16" s="304"/>
      <c r="AE16" s="305"/>
      <c r="AF16" s="215"/>
      <c r="AG16" s="215"/>
    </row>
    <row r="17" spans="1:33" ht="16.5" thickBot="1" x14ac:dyDescent="0.3">
      <c r="A17" s="32">
        <v>14</v>
      </c>
      <c r="B17" s="39"/>
      <c r="C17" s="39"/>
      <c r="D17" s="39"/>
      <c r="E17" s="39"/>
      <c r="F17" s="39"/>
      <c r="G17" s="39"/>
      <c r="H17" s="39"/>
      <c r="I17" s="40"/>
      <c r="J17" s="299"/>
      <c r="K17" s="215"/>
      <c r="L17" s="61"/>
      <c r="M17" s="62"/>
      <c r="N17" s="62"/>
      <c r="O17" s="62"/>
      <c r="P17" s="62"/>
      <c r="Q17" s="62"/>
      <c r="R17" s="62"/>
      <c r="S17" s="62"/>
      <c r="T17" s="62"/>
      <c r="U17" s="62"/>
      <c r="V17" s="62"/>
      <c r="W17" s="62"/>
      <c r="X17" s="62"/>
      <c r="Y17" s="62"/>
      <c r="Z17" s="62"/>
      <c r="AA17" s="62"/>
      <c r="AB17" s="62"/>
      <c r="AC17" s="62"/>
      <c r="AD17" s="62"/>
      <c r="AE17" s="63"/>
      <c r="AF17" s="215"/>
      <c r="AG17" s="215"/>
    </row>
    <row r="18" spans="1:33" x14ac:dyDescent="0.25">
      <c r="A18" s="32">
        <v>15</v>
      </c>
      <c r="B18" s="39"/>
      <c r="C18" s="39"/>
      <c r="D18" s="39"/>
      <c r="E18" s="39"/>
      <c r="F18" s="39"/>
      <c r="G18" s="39"/>
      <c r="H18" s="39"/>
      <c r="I18" s="40"/>
      <c r="J18" s="299"/>
      <c r="K18" s="215"/>
      <c r="L18" s="215"/>
      <c r="M18" s="215"/>
      <c r="N18" s="215"/>
      <c r="O18" s="215"/>
      <c r="P18" s="215"/>
      <c r="Q18" s="215"/>
      <c r="R18" s="215"/>
      <c r="S18" s="215"/>
      <c r="T18" s="215"/>
      <c r="U18" s="215"/>
      <c r="V18" s="215"/>
      <c r="W18" s="215"/>
      <c r="X18" s="215"/>
      <c r="Y18" s="215"/>
      <c r="Z18" s="215"/>
      <c r="AA18" s="215"/>
      <c r="AB18" s="215"/>
      <c r="AC18" s="215"/>
      <c r="AD18" s="215"/>
      <c r="AE18" s="215"/>
      <c r="AF18" s="215"/>
      <c r="AG18" s="215"/>
    </row>
    <row r="19" spans="1:33" x14ac:dyDescent="0.25">
      <c r="A19" s="32">
        <v>16</v>
      </c>
      <c r="B19" s="39"/>
      <c r="C19" s="39"/>
      <c r="D19" s="39"/>
      <c r="E19" s="39"/>
      <c r="F19" s="39"/>
      <c r="G19" s="39"/>
      <c r="H19" s="39"/>
      <c r="I19" s="40"/>
      <c r="J19" s="39"/>
      <c r="K19" s="23"/>
      <c r="L19" s="23"/>
      <c r="M19" s="23"/>
      <c r="N19" s="23"/>
      <c r="O19" s="23"/>
      <c r="P19" s="23"/>
      <c r="Q19" s="23"/>
      <c r="R19" s="23"/>
      <c r="S19" s="23"/>
      <c r="T19" s="23"/>
      <c r="U19" s="23"/>
      <c r="V19" s="23"/>
      <c r="W19" s="23"/>
      <c r="X19" s="23"/>
      <c r="Y19" s="23"/>
      <c r="Z19" s="23"/>
      <c r="AA19" s="23"/>
      <c r="AB19" s="23"/>
      <c r="AC19" s="23"/>
      <c r="AD19" s="23"/>
      <c r="AE19" s="23"/>
      <c r="AF19" s="23"/>
      <c r="AG19" s="23"/>
    </row>
    <row r="20" spans="1:33" x14ac:dyDescent="0.25">
      <c r="A20" s="32">
        <v>17</v>
      </c>
      <c r="B20" s="39"/>
      <c r="C20" s="39"/>
      <c r="D20" s="39"/>
      <c r="E20" s="39"/>
      <c r="F20" s="39"/>
      <c r="G20" s="39"/>
      <c r="H20" s="39"/>
      <c r="I20" s="40"/>
      <c r="J20" s="39"/>
      <c r="K20" s="23"/>
      <c r="L20" s="23"/>
      <c r="M20" s="23"/>
      <c r="N20" s="23"/>
      <c r="O20" s="23"/>
      <c r="P20" s="23"/>
      <c r="Q20" s="23"/>
      <c r="R20" s="23"/>
      <c r="S20" s="23"/>
      <c r="T20" s="23"/>
      <c r="U20" s="23"/>
      <c r="V20" s="23"/>
      <c r="W20" s="23"/>
      <c r="X20" s="23"/>
      <c r="Y20" s="23"/>
      <c r="Z20" s="23"/>
      <c r="AA20" s="23"/>
      <c r="AB20" s="23"/>
      <c r="AC20" s="23"/>
      <c r="AD20" s="23"/>
      <c r="AE20" s="23"/>
      <c r="AF20" s="23"/>
      <c r="AG20" s="23"/>
    </row>
    <row r="21" spans="1:33" x14ac:dyDescent="0.25">
      <c r="A21" s="32">
        <v>18</v>
      </c>
      <c r="B21" s="39"/>
      <c r="C21" s="39"/>
      <c r="D21" s="39"/>
      <c r="E21" s="39"/>
      <c r="F21" s="39"/>
      <c r="G21" s="39"/>
      <c r="H21" s="39"/>
      <c r="I21" s="40"/>
      <c r="J21" s="39"/>
      <c r="K21" s="23"/>
      <c r="L21" s="23"/>
      <c r="M21" s="23"/>
      <c r="N21" s="23"/>
      <c r="O21" s="23"/>
      <c r="P21" s="23"/>
      <c r="Q21" s="23"/>
      <c r="R21" s="23"/>
      <c r="S21" s="23"/>
      <c r="T21" s="23"/>
      <c r="U21" s="23"/>
      <c r="V21" s="23"/>
      <c r="W21" s="23"/>
      <c r="X21" s="23"/>
      <c r="Y21" s="23"/>
      <c r="Z21" s="23"/>
      <c r="AA21" s="23"/>
      <c r="AB21" s="23"/>
      <c r="AC21" s="23"/>
      <c r="AD21" s="23"/>
      <c r="AE21" s="23"/>
      <c r="AF21" s="23"/>
      <c r="AG21" s="23"/>
    </row>
    <row r="22" spans="1:33" x14ac:dyDescent="0.25">
      <c r="A22" s="32">
        <v>19</v>
      </c>
      <c r="B22" s="39"/>
      <c r="C22" s="39"/>
      <c r="D22" s="39"/>
      <c r="E22" s="39"/>
      <c r="F22" s="39"/>
      <c r="G22" s="39"/>
      <c r="H22" s="39"/>
      <c r="I22" s="40"/>
      <c r="J22" s="39"/>
      <c r="K22" s="23"/>
      <c r="L22" s="23"/>
      <c r="M22" s="23"/>
      <c r="N22" s="23"/>
      <c r="O22" s="23"/>
      <c r="P22" s="23"/>
      <c r="Q22" s="23"/>
      <c r="R22" s="23"/>
      <c r="S22" s="23"/>
      <c r="T22" s="23"/>
      <c r="U22" s="23"/>
      <c r="V22" s="23"/>
      <c r="W22" s="23"/>
      <c r="X22" s="23"/>
      <c r="Y22" s="23"/>
      <c r="Z22" s="23"/>
      <c r="AA22" s="23"/>
      <c r="AB22" s="23"/>
      <c r="AC22" s="23"/>
      <c r="AD22" s="23"/>
      <c r="AE22" s="23"/>
      <c r="AF22" s="23"/>
      <c r="AG22" s="23"/>
    </row>
    <row r="23" spans="1:33" x14ac:dyDescent="0.25">
      <c r="A23" s="32">
        <v>20</v>
      </c>
      <c r="B23" s="39"/>
      <c r="C23" s="39"/>
      <c r="D23" s="39"/>
      <c r="E23" s="39"/>
      <c r="F23" s="39"/>
      <c r="G23" s="39"/>
      <c r="H23" s="39"/>
      <c r="I23" s="40"/>
      <c r="J23" s="39"/>
      <c r="K23" s="23"/>
      <c r="L23" s="23"/>
      <c r="M23" s="23"/>
      <c r="N23" s="23"/>
      <c r="O23" s="23"/>
      <c r="P23" s="23"/>
      <c r="Q23" s="23"/>
      <c r="R23" s="23"/>
      <c r="S23" s="23"/>
      <c r="T23" s="23"/>
      <c r="U23" s="23"/>
      <c r="V23" s="23"/>
      <c r="W23" s="23"/>
      <c r="X23" s="23"/>
      <c r="Y23" s="23"/>
      <c r="Z23" s="23"/>
      <c r="AA23" s="23"/>
      <c r="AB23" s="23"/>
      <c r="AC23" s="23"/>
      <c r="AD23" s="23"/>
      <c r="AE23" s="23"/>
      <c r="AF23" s="23"/>
      <c r="AG23" s="23"/>
    </row>
    <row r="24" spans="1:33" x14ac:dyDescent="0.25">
      <c r="A24" s="32">
        <v>21</v>
      </c>
      <c r="B24" s="39"/>
      <c r="C24" s="39"/>
      <c r="D24" s="39"/>
      <c r="E24" s="39"/>
      <c r="F24" s="39"/>
      <c r="G24" s="39"/>
      <c r="H24" s="39"/>
      <c r="I24" s="40"/>
      <c r="J24" s="39"/>
      <c r="K24" s="23"/>
      <c r="L24" s="23"/>
      <c r="M24" s="23"/>
      <c r="N24" s="23"/>
      <c r="O24" s="23"/>
      <c r="P24" s="23"/>
      <c r="Q24" s="23"/>
      <c r="R24" s="23"/>
      <c r="S24" s="23"/>
      <c r="T24" s="23"/>
      <c r="U24" s="23"/>
      <c r="V24" s="23"/>
      <c r="W24" s="23"/>
      <c r="X24" s="23"/>
      <c r="Y24" s="23"/>
      <c r="Z24" s="23"/>
      <c r="AA24" s="23"/>
      <c r="AB24" s="23"/>
      <c r="AC24" s="23"/>
      <c r="AD24" s="23"/>
      <c r="AE24" s="23"/>
      <c r="AF24" s="23"/>
      <c r="AG24" s="23"/>
    </row>
    <row r="25" spans="1:33" x14ac:dyDescent="0.25">
      <c r="A25" s="32">
        <v>22</v>
      </c>
      <c r="B25" s="39"/>
      <c r="C25" s="39"/>
      <c r="D25" s="39"/>
      <c r="E25" s="39"/>
      <c r="F25" s="39"/>
      <c r="G25" s="39"/>
      <c r="H25" s="39"/>
      <c r="I25" s="40"/>
      <c r="J25" s="39"/>
      <c r="K25" s="23"/>
      <c r="L25" s="23"/>
      <c r="M25" s="23"/>
      <c r="N25" s="23"/>
      <c r="O25" s="23"/>
      <c r="P25" s="23"/>
      <c r="Q25" s="23"/>
      <c r="R25" s="23"/>
      <c r="S25" s="23"/>
      <c r="T25" s="23"/>
      <c r="U25" s="23"/>
      <c r="V25" s="23"/>
      <c r="W25" s="23"/>
      <c r="X25" s="23"/>
      <c r="Y25" s="23"/>
      <c r="Z25" s="23"/>
      <c r="AA25" s="23"/>
      <c r="AB25" s="23"/>
      <c r="AC25" s="23"/>
      <c r="AD25" s="23"/>
      <c r="AE25" s="23"/>
      <c r="AF25" s="23"/>
      <c r="AG25" s="23"/>
    </row>
    <row r="26" spans="1:33" x14ac:dyDescent="0.25">
      <c r="A26" s="32">
        <v>23</v>
      </c>
      <c r="B26" s="39"/>
      <c r="C26" s="39"/>
      <c r="D26" s="39"/>
      <c r="E26" s="39"/>
      <c r="F26" s="39"/>
      <c r="G26" s="39"/>
      <c r="H26" s="39"/>
      <c r="I26" s="40"/>
      <c r="J26" s="39"/>
      <c r="K26" s="23"/>
      <c r="L26" s="23"/>
      <c r="M26" s="23"/>
      <c r="N26" s="23"/>
      <c r="O26" s="23"/>
      <c r="P26" s="23"/>
      <c r="Q26" s="23"/>
      <c r="R26" s="23"/>
      <c r="S26" s="23"/>
      <c r="T26" s="23"/>
      <c r="U26" s="23"/>
      <c r="V26" s="23"/>
      <c r="W26" s="23"/>
      <c r="X26" s="23"/>
      <c r="Y26" s="23"/>
      <c r="Z26" s="23"/>
      <c r="AA26" s="23"/>
      <c r="AB26" s="23"/>
      <c r="AC26" s="23"/>
      <c r="AD26" s="23"/>
      <c r="AE26" s="23"/>
      <c r="AF26" s="23"/>
      <c r="AG26" s="23"/>
    </row>
    <row r="27" spans="1:33" x14ac:dyDescent="0.25">
      <c r="A27" s="32">
        <v>24</v>
      </c>
      <c r="B27" s="39"/>
      <c r="C27" s="39"/>
      <c r="D27" s="39"/>
      <c r="E27" s="39"/>
      <c r="F27" s="39"/>
      <c r="G27" s="39"/>
      <c r="H27" s="39"/>
      <c r="I27" s="40"/>
      <c r="J27" s="39"/>
      <c r="K27" s="23"/>
      <c r="L27" s="23"/>
      <c r="M27" s="23"/>
      <c r="N27" s="23"/>
      <c r="O27" s="23"/>
      <c r="P27" s="23"/>
      <c r="Q27" s="23"/>
      <c r="R27" s="23"/>
      <c r="S27" s="23"/>
      <c r="T27" s="23"/>
      <c r="U27" s="23"/>
      <c r="V27" s="23"/>
      <c r="W27" s="23"/>
      <c r="X27" s="23"/>
      <c r="Y27" s="23"/>
      <c r="Z27" s="23"/>
      <c r="AA27" s="23"/>
      <c r="AB27" s="23"/>
      <c r="AC27" s="23"/>
      <c r="AD27" s="23"/>
      <c r="AE27" s="23"/>
      <c r="AF27" s="23"/>
      <c r="AG27" s="23"/>
    </row>
    <row r="28" spans="1:33" x14ac:dyDescent="0.25">
      <c r="A28" s="32">
        <v>25</v>
      </c>
      <c r="B28" s="39"/>
      <c r="C28" s="39"/>
      <c r="D28" s="39"/>
      <c r="E28" s="39"/>
      <c r="F28" s="39"/>
      <c r="G28" s="39"/>
      <c r="H28" s="39"/>
      <c r="I28" s="40"/>
      <c r="J28" s="39"/>
      <c r="K28" s="23"/>
      <c r="L28" s="23"/>
      <c r="M28" s="23"/>
      <c r="N28" s="23"/>
      <c r="O28" s="23"/>
      <c r="P28" s="23"/>
      <c r="Q28" s="23"/>
      <c r="R28" s="23"/>
      <c r="S28" s="23"/>
      <c r="T28" s="23"/>
      <c r="U28" s="23"/>
      <c r="V28" s="23"/>
      <c r="W28" s="23"/>
      <c r="X28" s="23"/>
      <c r="Y28" s="23"/>
      <c r="Z28" s="23"/>
      <c r="AA28" s="23"/>
      <c r="AB28" s="23"/>
      <c r="AC28" s="23"/>
      <c r="AD28" s="23"/>
      <c r="AE28" s="23"/>
      <c r="AF28" s="23"/>
      <c r="AG28" s="23"/>
    </row>
    <row r="30" spans="1:33" x14ac:dyDescent="0.25">
      <c r="A30" s="270" t="s">
        <v>453</v>
      </c>
    </row>
    <row r="32" spans="1:33" x14ac:dyDescent="0.25">
      <c r="A32" s="284" t="s">
        <v>412</v>
      </c>
      <c r="B32" s="284" t="s">
        <v>39</v>
      </c>
      <c r="C32" s="284" t="s">
        <v>40</v>
      </c>
      <c r="D32" s="284" t="s">
        <v>41</v>
      </c>
      <c r="E32" s="284" t="s">
        <v>42</v>
      </c>
      <c r="F32" s="284" t="s">
        <v>43</v>
      </c>
      <c r="G32" s="284" t="s">
        <v>44</v>
      </c>
      <c r="H32" s="284" t="s">
        <v>45</v>
      </c>
      <c r="I32" s="284" t="s">
        <v>46</v>
      </c>
      <c r="J32" s="284" t="s">
        <v>47</v>
      </c>
      <c r="K32" t="s">
        <v>413</v>
      </c>
    </row>
    <row r="33" spans="1:11" x14ac:dyDescent="0.25">
      <c r="A33" s="6">
        <v>8</v>
      </c>
      <c r="B33" s="6" t="s">
        <v>61</v>
      </c>
      <c r="C33" s="6" t="s">
        <v>414</v>
      </c>
      <c r="D33" s="6" t="s">
        <v>414</v>
      </c>
      <c r="E33" s="6" t="s">
        <v>77</v>
      </c>
      <c r="F33" s="6" t="s">
        <v>414</v>
      </c>
      <c r="G33" s="6" t="s">
        <v>414</v>
      </c>
      <c r="H33" s="6" t="s">
        <v>414</v>
      </c>
      <c r="I33" s="6" t="s">
        <v>414</v>
      </c>
      <c r="J33" s="6" t="s">
        <v>414</v>
      </c>
      <c r="K33" s="283">
        <v>1</v>
      </c>
    </row>
    <row r="34" spans="1:11" x14ac:dyDescent="0.25">
      <c r="A34" s="6">
        <v>7</v>
      </c>
      <c r="B34" s="6" t="s">
        <v>79</v>
      </c>
      <c r="C34" s="6" t="s">
        <v>80</v>
      </c>
      <c r="D34" s="6" t="s">
        <v>50</v>
      </c>
      <c r="E34" s="6" t="s">
        <v>81</v>
      </c>
      <c r="F34" s="6" t="s">
        <v>82</v>
      </c>
      <c r="G34" s="6">
        <v>30092</v>
      </c>
      <c r="H34" s="6" t="s">
        <v>53</v>
      </c>
      <c r="I34" s="6" t="s">
        <v>54</v>
      </c>
      <c r="J34" s="6">
        <v>124533.45</v>
      </c>
      <c r="K34" s="283">
        <v>1</v>
      </c>
    </row>
    <row r="35" spans="1:11" x14ac:dyDescent="0.25">
      <c r="A35" s="6">
        <v>6</v>
      </c>
      <c r="B35" s="6" t="s">
        <v>74</v>
      </c>
      <c r="C35" s="6" t="s">
        <v>75</v>
      </c>
      <c r="D35" s="6" t="s">
        <v>76</v>
      </c>
      <c r="E35" s="6" t="s">
        <v>77</v>
      </c>
      <c r="F35" s="6" t="s">
        <v>52</v>
      </c>
      <c r="G35" s="6">
        <v>30092</v>
      </c>
      <c r="H35" s="6" t="s">
        <v>78</v>
      </c>
      <c r="I35" s="6" t="s">
        <v>65</v>
      </c>
      <c r="J35" s="6">
        <v>212254.23</v>
      </c>
      <c r="K35" s="283">
        <v>1</v>
      </c>
    </row>
    <row r="36" spans="1:11" x14ac:dyDescent="0.25">
      <c r="A36" s="6">
        <v>5</v>
      </c>
      <c r="B36" s="6" t="s">
        <v>70</v>
      </c>
      <c r="C36" s="6" t="s">
        <v>71</v>
      </c>
      <c r="D36" s="6" t="s">
        <v>72</v>
      </c>
      <c r="E36" s="6" t="s">
        <v>51</v>
      </c>
      <c r="F36" s="6" t="s">
        <v>52</v>
      </c>
      <c r="G36" s="6">
        <v>30066</v>
      </c>
      <c r="H36" s="6" t="s">
        <v>73</v>
      </c>
      <c r="I36" s="6" t="s">
        <v>60</v>
      </c>
      <c r="J36" s="6">
        <v>177209</v>
      </c>
      <c r="K36" s="283">
        <v>1</v>
      </c>
    </row>
    <row r="37" spans="1:11" x14ac:dyDescent="0.25">
      <c r="A37" s="6">
        <v>4</v>
      </c>
      <c r="B37" s="6" t="s">
        <v>66</v>
      </c>
      <c r="C37" s="6" t="s">
        <v>67</v>
      </c>
      <c r="D37" s="6" t="s">
        <v>68</v>
      </c>
      <c r="E37" s="6" t="s">
        <v>51</v>
      </c>
      <c r="F37" s="6" t="s">
        <v>52</v>
      </c>
      <c r="G37" s="6">
        <v>30065</v>
      </c>
      <c r="H37" s="6" t="s">
        <v>69</v>
      </c>
      <c r="I37" s="6" t="s">
        <v>54</v>
      </c>
      <c r="J37" s="6">
        <v>202578</v>
      </c>
      <c r="K37" s="283">
        <v>1</v>
      </c>
    </row>
    <row r="38" spans="1:11" x14ac:dyDescent="0.25">
      <c r="A38" s="6">
        <v>3</v>
      </c>
      <c r="B38" s="6" t="s">
        <v>61</v>
      </c>
      <c r="C38" s="6" t="s">
        <v>62</v>
      </c>
      <c r="D38" s="6" t="s">
        <v>63</v>
      </c>
      <c r="E38" s="6" t="s">
        <v>51</v>
      </c>
      <c r="F38" s="6" t="s">
        <v>52</v>
      </c>
      <c r="G38" s="6">
        <v>30064</v>
      </c>
      <c r="H38" s="6" t="s">
        <v>64</v>
      </c>
      <c r="I38" s="6" t="s">
        <v>65</v>
      </c>
      <c r="J38" s="6">
        <v>81480</v>
      </c>
      <c r="K38" s="283">
        <v>1</v>
      </c>
    </row>
    <row r="39" spans="1:11" x14ac:dyDescent="0.25">
      <c r="A39" s="6">
        <v>2</v>
      </c>
      <c r="B39" s="6" t="s">
        <v>56</v>
      </c>
      <c r="C39" s="6" t="s">
        <v>57</v>
      </c>
      <c r="D39" s="6" t="s">
        <v>58</v>
      </c>
      <c r="E39" s="6" t="s">
        <v>51</v>
      </c>
      <c r="F39" s="6" t="s">
        <v>52</v>
      </c>
      <c r="G39" s="6">
        <v>30063</v>
      </c>
      <c r="H39" s="6" t="s">
        <v>59</v>
      </c>
      <c r="I39" s="6" t="s">
        <v>60</v>
      </c>
      <c r="J39" s="6">
        <v>156340</v>
      </c>
      <c r="K39" s="283">
        <v>1</v>
      </c>
    </row>
    <row r="40" spans="1:11" x14ac:dyDescent="0.25">
      <c r="A40" s="6">
        <v>1</v>
      </c>
      <c r="B40" s="6" t="s">
        <v>48</v>
      </c>
      <c r="C40" s="6" t="s">
        <v>49</v>
      </c>
      <c r="D40" s="6" t="s">
        <v>50</v>
      </c>
      <c r="E40" s="6" t="s">
        <v>51</v>
      </c>
      <c r="F40" s="6" t="s">
        <v>52</v>
      </c>
      <c r="G40" s="6">
        <v>30062</v>
      </c>
      <c r="H40" s="6" t="s">
        <v>53</v>
      </c>
      <c r="I40" s="6" t="s">
        <v>54</v>
      </c>
      <c r="J40" s="6">
        <v>157665</v>
      </c>
      <c r="K40" s="283">
        <v>1</v>
      </c>
    </row>
    <row r="41" spans="1:11" x14ac:dyDescent="0.25">
      <c r="A41" s="6" t="s">
        <v>415</v>
      </c>
      <c r="K41" s="283">
        <v>8</v>
      </c>
    </row>
  </sheetData>
  <mergeCells count="2">
    <mergeCell ref="L4:AE4"/>
    <mergeCell ref="L16:AE16"/>
  </mergeCells>
  <pageMargins left="0.7" right="0.7" top="0.75" bottom="0.75" header="0.3" footer="0.3"/>
  <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dimension ref="A1:AG108"/>
  <sheetViews>
    <sheetView showGridLines="0" workbookViewId="0">
      <selection activeCell="S32" sqref="S32"/>
    </sheetView>
  </sheetViews>
  <sheetFormatPr defaultRowHeight="15.75" x14ac:dyDescent="0.25"/>
  <cols>
    <col min="1" max="1" width="7.875" bestFit="1" customWidth="1"/>
    <col min="2" max="3" width="10" bestFit="1" customWidth="1"/>
    <col min="4" max="4" width="19" bestFit="1" customWidth="1"/>
    <col min="5" max="5" width="8.375" bestFit="1" customWidth="1"/>
    <col min="6" max="6" width="5.375" bestFit="1" customWidth="1"/>
    <col min="7" max="7" width="5.875" bestFit="1" customWidth="1"/>
    <col min="8" max="8" width="11.875" bestFit="1" customWidth="1"/>
    <col min="9" max="9" width="11.875" customWidth="1"/>
    <col min="10" max="10" width="12.125" bestFit="1" customWidth="1"/>
    <col min="11" max="11" width="3.75" customWidth="1"/>
    <col min="12" max="31" width="3.625" customWidth="1"/>
    <col min="32" max="32" width="3" customWidth="1"/>
  </cols>
  <sheetData>
    <row r="1" spans="1:33" x14ac:dyDescent="0.25">
      <c r="A1" s="16"/>
      <c r="B1" s="16"/>
      <c r="C1" s="16"/>
      <c r="D1" s="16"/>
      <c r="E1" s="16"/>
      <c r="F1" s="16"/>
      <c r="G1" s="16"/>
      <c r="H1" s="16"/>
      <c r="I1" s="16"/>
      <c r="J1" s="16"/>
      <c r="K1" s="16"/>
      <c r="L1" s="16"/>
      <c r="M1" s="16"/>
      <c r="N1" s="16"/>
      <c r="O1" s="16"/>
      <c r="P1" s="16"/>
      <c r="Q1" s="16"/>
      <c r="R1" s="16"/>
      <c r="S1" s="17">
        <f t="shared" ref="S1:AB1" si="0">VLOOKUP(MAX($A$3:$A$147),$A$3:$H$147,2)</f>
        <v>0</v>
      </c>
      <c r="T1" s="17">
        <f t="shared" si="0"/>
        <v>0</v>
      </c>
      <c r="U1" s="17">
        <f t="shared" si="0"/>
        <v>0</v>
      </c>
      <c r="V1" s="17">
        <f t="shared" si="0"/>
        <v>0</v>
      </c>
      <c r="W1" s="17">
        <f t="shared" si="0"/>
        <v>0</v>
      </c>
      <c r="X1" s="17">
        <f t="shared" si="0"/>
        <v>0</v>
      </c>
      <c r="Y1" s="17">
        <f t="shared" si="0"/>
        <v>0</v>
      </c>
      <c r="Z1" s="17">
        <f t="shared" si="0"/>
        <v>0</v>
      </c>
      <c r="AA1" s="17">
        <f t="shared" si="0"/>
        <v>0</v>
      </c>
      <c r="AB1" s="17">
        <f t="shared" si="0"/>
        <v>0</v>
      </c>
      <c r="AC1" s="18"/>
      <c r="AD1" s="18"/>
      <c r="AE1" s="18"/>
      <c r="AF1" s="18"/>
      <c r="AG1" s="18"/>
    </row>
    <row r="2" spans="1:33" ht="16.5" thickBot="1" x14ac:dyDescent="0.3">
      <c r="A2" s="73"/>
      <c r="B2" s="20"/>
      <c r="C2" s="20"/>
      <c r="D2" s="20"/>
      <c r="E2" s="20"/>
      <c r="F2" s="20"/>
      <c r="G2" s="20"/>
      <c r="H2" s="20"/>
      <c r="I2" s="22"/>
      <c r="J2" s="20"/>
      <c r="K2" s="23"/>
      <c r="L2" s="23"/>
      <c r="M2" s="23"/>
      <c r="N2" s="23"/>
      <c r="O2" s="23"/>
      <c r="P2" s="23"/>
      <c r="Q2" s="23"/>
      <c r="R2" s="23"/>
      <c r="S2" s="23"/>
      <c r="T2" s="23"/>
      <c r="U2" s="23"/>
      <c r="V2" s="23"/>
      <c r="W2" s="23"/>
      <c r="X2" s="23"/>
      <c r="Y2" s="23"/>
      <c r="Z2" s="23"/>
      <c r="AA2" s="23"/>
      <c r="AB2" s="23"/>
      <c r="AC2" s="23"/>
      <c r="AD2" s="23"/>
      <c r="AE2" s="23"/>
      <c r="AF2" s="23"/>
      <c r="AG2" s="23"/>
    </row>
    <row r="3" spans="1:33" x14ac:dyDescent="0.25">
      <c r="A3" s="68" t="s">
        <v>38</v>
      </c>
      <c r="B3" s="69" t="s">
        <v>39</v>
      </c>
      <c r="C3" s="69" t="s">
        <v>40</v>
      </c>
      <c r="D3" s="69" t="s">
        <v>41</v>
      </c>
      <c r="E3" s="68" t="s">
        <v>42</v>
      </c>
      <c r="F3" s="68" t="s">
        <v>43</v>
      </c>
      <c r="G3" s="68" t="s">
        <v>44</v>
      </c>
      <c r="H3" s="68" t="s">
        <v>45</v>
      </c>
      <c r="I3" s="68" t="s">
        <v>46</v>
      </c>
      <c r="J3" s="68" t="s">
        <v>47</v>
      </c>
      <c r="K3" s="23"/>
      <c r="L3" s="29"/>
      <c r="M3" s="30"/>
      <c r="N3" s="30"/>
      <c r="O3" s="30"/>
      <c r="P3" s="30"/>
      <c r="Q3" s="30"/>
      <c r="R3" s="30"/>
      <c r="S3" s="30"/>
      <c r="T3" s="30"/>
      <c r="U3" s="30"/>
      <c r="V3" s="30"/>
      <c r="W3" s="30"/>
      <c r="X3" s="30"/>
      <c r="Y3" s="30"/>
      <c r="Z3" s="30"/>
      <c r="AA3" s="30"/>
      <c r="AB3" s="30"/>
      <c r="AC3" s="30"/>
      <c r="AD3" s="30"/>
      <c r="AE3" s="31"/>
      <c r="AF3" s="23"/>
      <c r="AG3" s="23"/>
    </row>
    <row r="4" spans="1:33" x14ac:dyDescent="0.25">
      <c r="A4" s="32">
        <v>1</v>
      </c>
      <c r="B4" s="33" t="s">
        <v>48</v>
      </c>
      <c r="C4" s="34" t="s">
        <v>49</v>
      </c>
      <c r="D4" s="34" t="s">
        <v>50</v>
      </c>
      <c r="E4" s="34" t="s">
        <v>51</v>
      </c>
      <c r="F4" s="35" t="s">
        <v>52</v>
      </c>
      <c r="G4" s="35">
        <v>30062</v>
      </c>
      <c r="H4" s="33" t="s">
        <v>53</v>
      </c>
      <c r="I4" s="37" t="s">
        <v>54</v>
      </c>
      <c r="J4" s="70">
        <v>157665</v>
      </c>
      <c r="K4" s="23"/>
      <c r="L4" s="300" t="s">
        <v>55</v>
      </c>
      <c r="M4" s="301"/>
      <c r="N4" s="301"/>
      <c r="O4" s="301"/>
      <c r="P4" s="301"/>
      <c r="Q4" s="301"/>
      <c r="R4" s="301"/>
      <c r="S4" s="301"/>
      <c r="T4" s="301"/>
      <c r="U4" s="301"/>
      <c r="V4" s="301"/>
      <c r="W4" s="301"/>
      <c r="X4" s="301"/>
      <c r="Y4" s="301"/>
      <c r="Z4" s="301"/>
      <c r="AA4" s="301"/>
      <c r="AB4" s="301"/>
      <c r="AC4" s="301"/>
      <c r="AD4" s="301"/>
      <c r="AE4" s="302"/>
      <c r="AF4" s="23"/>
      <c r="AG4" s="23"/>
    </row>
    <row r="5" spans="1:33" x14ac:dyDescent="0.25">
      <c r="A5" s="32">
        <v>2</v>
      </c>
      <c r="B5" s="39" t="s">
        <v>56</v>
      </c>
      <c r="C5" s="39" t="s">
        <v>57</v>
      </c>
      <c r="D5" s="39" t="s">
        <v>58</v>
      </c>
      <c r="E5" s="39" t="s">
        <v>51</v>
      </c>
      <c r="F5" s="40" t="s">
        <v>52</v>
      </c>
      <c r="G5" s="40">
        <v>30063</v>
      </c>
      <c r="H5" s="42" t="s">
        <v>59</v>
      </c>
      <c r="I5" s="43" t="s">
        <v>60</v>
      </c>
      <c r="J5" s="71">
        <v>156340</v>
      </c>
      <c r="K5" s="23"/>
      <c r="L5" s="45"/>
      <c r="M5" s="46"/>
      <c r="N5" s="46"/>
      <c r="O5" s="46"/>
      <c r="P5" s="46"/>
      <c r="Q5" s="46"/>
      <c r="R5" s="46"/>
      <c r="S5" s="46"/>
      <c r="T5" s="46"/>
      <c r="U5" s="46"/>
      <c r="V5" s="46"/>
      <c r="W5" s="46"/>
      <c r="X5" s="46"/>
      <c r="Y5" s="46"/>
      <c r="Z5" s="46"/>
      <c r="AA5" s="46"/>
      <c r="AB5" s="46"/>
      <c r="AC5" s="46"/>
      <c r="AD5" s="46"/>
      <c r="AE5" s="47"/>
      <c r="AF5" s="23"/>
      <c r="AG5" s="23"/>
    </row>
    <row r="6" spans="1:33" x14ac:dyDescent="0.25">
      <c r="A6" s="32">
        <v>3</v>
      </c>
      <c r="B6" s="39" t="s">
        <v>61</v>
      </c>
      <c r="C6" s="42" t="s">
        <v>62</v>
      </c>
      <c r="D6" s="39" t="s">
        <v>63</v>
      </c>
      <c r="E6" s="39" t="s">
        <v>51</v>
      </c>
      <c r="F6" s="40" t="s">
        <v>52</v>
      </c>
      <c r="G6" s="40">
        <v>30064</v>
      </c>
      <c r="H6" s="42" t="s">
        <v>64</v>
      </c>
      <c r="I6" s="43" t="s">
        <v>65</v>
      </c>
      <c r="J6" s="71">
        <v>81480</v>
      </c>
      <c r="K6" s="23"/>
      <c r="L6" s="45"/>
      <c r="M6" s="48" t="s">
        <v>39</v>
      </c>
      <c r="N6" s="46"/>
      <c r="O6" s="46"/>
      <c r="P6" s="49" t="str">
        <f>VLOOKUP((MAX($A$4:$A$104)-COUNTBLANK($B$4:$B$104)),$A$4:$J$104,2)</f>
        <v>Collins</v>
      </c>
      <c r="Q6" s="50"/>
      <c r="R6" s="50"/>
      <c r="S6" s="50"/>
      <c r="T6" s="50"/>
      <c r="U6" s="51"/>
      <c r="V6" s="46"/>
      <c r="W6" s="52" t="s">
        <v>42</v>
      </c>
      <c r="X6" s="46"/>
      <c r="Y6" s="49" t="str">
        <f>VLOOKUP((MAX($A$4:$A$104)-COUNTBLANK($B$4:$B$104)),$A$4:$J$104,5)</f>
        <v>Norcross</v>
      </c>
      <c r="Z6" s="50"/>
      <c r="AA6" s="50"/>
      <c r="AB6" s="50"/>
      <c r="AC6" s="50"/>
      <c r="AD6" s="51"/>
      <c r="AE6" s="47"/>
      <c r="AF6" s="23"/>
      <c r="AG6" s="23"/>
    </row>
    <row r="7" spans="1:33" x14ac:dyDescent="0.25">
      <c r="A7" s="32">
        <v>4</v>
      </c>
      <c r="B7" s="39" t="s">
        <v>66</v>
      </c>
      <c r="C7" s="42" t="s">
        <v>67</v>
      </c>
      <c r="D7" s="39" t="s">
        <v>68</v>
      </c>
      <c r="E7" s="39" t="s">
        <v>51</v>
      </c>
      <c r="F7" s="40" t="s">
        <v>52</v>
      </c>
      <c r="G7" s="40">
        <v>30065</v>
      </c>
      <c r="H7" s="42" t="s">
        <v>69</v>
      </c>
      <c r="I7" s="43" t="s">
        <v>54</v>
      </c>
      <c r="J7" s="71">
        <v>202578</v>
      </c>
      <c r="K7" s="23"/>
      <c r="L7" s="45"/>
      <c r="M7" s="46"/>
      <c r="N7" s="46"/>
      <c r="O7" s="46"/>
      <c r="P7" s="46"/>
      <c r="Q7" s="46"/>
      <c r="R7" s="46"/>
      <c r="S7" s="46"/>
      <c r="T7" s="46"/>
      <c r="U7" s="46"/>
      <c r="V7" s="46"/>
      <c r="W7" s="46"/>
      <c r="X7" s="46"/>
      <c r="Y7" s="46"/>
      <c r="Z7" s="46"/>
      <c r="AA7" s="46"/>
      <c r="AB7" s="46"/>
      <c r="AC7" s="46"/>
      <c r="AD7" s="46"/>
      <c r="AE7" s="47"/>
      <c r="AF7" s="23"/>
      <c r="AG7" s="23"/>
    </row>
    <row r="8" spans="1:33" x14ac:dyDescent="0.25">
      <c r="A8" s="32">
        <v>5</v>
      </c>
      <c r="B8" s="42" t="s">
        <v>70</v>
      </c>
      <c r="C8" s="39" t="s">
        <v>71</v>
      </c>
      <c r="D8" s="39" t="s">
        <v>72</v>
      </c>
      <c r="E8" s="39" t="s">
        <v>51</v>
      </c>
      <c r="F8" s="40" t="s">
        <v>52</v>
      </c>
      <c r="G8" s="40">
        <v>30066</v>
      </c>
      <c r="H8" s="42" t="s">
        <v>73</v>
      </c>
      <c r="I8" s="43" t="s">
        <v>60</v>
      </c>
      <c r="J8" s="71">
        <v>177209</v>
      </c>
      <c r="K8" s="23"/>
      <c r="L8" s="45"/>
      <c r="M8" s="48" t="s">
        <v>40</v>
      </c>
      <c r="N8" s="46"/>
      <c r="O8" s="46"/>
      <c r="P8" s="49" t="str">
        <f>VLOOKUP((MAX($A$4:$A$104)-COUNTBLANK($B$4:$B$104)),$A$4:$J$104,3)</f>
        <v>Carlton</v>
      </c>
      <c r="Q8" s="50"/>
      <c r="R8" s="50"/>
      <c r="S8" s="50"/>
      <c r="T8" s="50"/>
      <c r="U8" s="51"/>
      <c r="V8" s="46"/>
      <c r="W8" s="52" t="s">
        <v>43</v>
      </c>
      <c r="X8" s="46"/>
      <c r="Y8" s="49" t="str">
        <f>VLOOKUP((MAX($A$4:$A$104)-COUNTBLANK($B$4:$B$104)),$A$4:$J$104,6)</f>
        <v xml:space="preserve">GA </v>
      </c>
      <c r="Z8" s="50"/>
      <c r="AA8" s="50"/>
      <c r="AB8" s="50"/>
      <c r="AC8" s="50"/>
      <c r="AD8" s="51"/>
      <c r="AE8" s="47"/>
      <c r="AF8" s="23"/>
      <c r="AG8" s="23"/>
    </row>
    <row r="9" spans="1:33" x14ac:dyDescent="0.25">
      <c r="A9" s="32">
        <v>6</v>
      </c>
      <c r="B9" s="39" t="s">
        <v>74</v>
      </c>
      <c r="C9" s="39" t="s">
        <v>75</v>
      </c>
      <c r="D9" s="39" t="s">
        <v>76</v>
      </c>
      <c r="E9" s="39" t="s">
        <v>77</v>
      </c>
      <c r="F9" s="40" t="s">
        <v>52</v>
      </c>
      <c r="G9" s="40">
        <v>30092</v>
      </c>
      <c r="H9" s="42" t="s">
        <v>78</v>
      </c>
      <c r="I9" s="43" t="s">
        <v>65</v>
      </c>
      <c r="J9" s="71">
        <v>212254.23</v>
      </c>
      <c r="K9" s="23"/>
      <c r="L9" s="45"/>
      <c r="M9" s="46"/>
      <c r="N9" s="46"/>
      <c r="O9" s="46"/>
      <c r="P9" s="46"/>
      <c r="Q9" s="46"/>
      <c r="R9" s="46"/>
      <c r="S9" s="46"/>
      <c r="T9" s="46"/>
      <c r="U9" s="46"/>
      <c r="V9" s="46"/>
      <c r="W9" s="46"/>
      <c r="X9" s="46"/>
      <c r="Y9" s="46"/>
      <c r="Z9" s="46"/>
      <c r="AA9" s="46"/>
      <c r="AB9" s="46"/>
      <c r="AC9" s="46"/>
      <c r="AD9" s="46"/>
      <c r="AE9" s="47"/>
      <c r="AF9" s="23"/>
      <c r="AG9" s="23"/>
    </row>
    <row r="10" spans="1:33" x14ac:dyDescent="0.25">
      <c r="A10" s="32">
        <v>7</v>
      </c>
      <c r="B10" s="39" t="s">
        <v>79</v>
      </c>
      <c r="C10" s="39" t="s">
        <v>80</v>
      </c>
      <c r="D10" s="39" t="s">
        <v>50</v>
      </c>
      <c r="E10" s="39" t="s">
        <v>81</v>
      </c>
      <c r="F10" s="40" t="s">
        <v>82</v>
      </c>
      <c r="G10" s="40">
        <v>30092</v>
      </c>
      <c r="H10" s="42" t="s">
        <v>53</v>
      </c>
      <c r="I10" s="43" t="s">
        <v>54</v>
      </c>
      <c r="J10" s="71">
        <v>124533.45</v>
      </c>
      <c r="K10" s="23"/>
      <c r="L10" s="45"/>
      <c r="M10" s="48" t="s">
        <v>41</v>
      </c>
      <c r="N10" s="46"/>
      <c r="O10" s="46"/>
      <c r="P10" s="49" t="str">
        <f>VLOOKUP((MAX($A$4:$A$104)-COUNTBLANK($B$4:$B$104)),$A$4:$J$104,4)</f>
        <v>100 Peachtree Street</v>
      </c>
      <c r="Q10" s="50"/>
      <c r="R10" s="50"/>
      <c r="S10" s="50"/>
      <c r="T10" s="50"/>
      <c r="U10" s="51"/>
      <c r="V10" s="46"/>
      <c r="W10" s="52" t="s">
        <v>44</v>
      </c>
      <c r="X10" s="46"/>
      <c r="Y10" s="306">
        <f>VLOOKUP((MAX($A$4:$A$104)-COUNTBLANK($B$4:$B$104)),$A$4:$J$104,7)</f>
        <v>30092</v>
      </c>
      <c r="Z10" s="314"/>
      <c r="AA10" s="314"/>
      <c r="AB10" s="314"/>
      <c r="AC10" s="314"/>
      <c r="AD10" s="315"/>
      <c r="AE10" s="47"/>
      <c r="AF10" s="23"/>
      <c r="AG10" s="23"/>
    </row>
    <row r="11" spans="1:33" x14ac:dyDescent="0.25">
      <c r="A11" s="32">
        <v>8</v>
      </c>
      <c r="B11" s="39"/>
      <c r="C11" s="39"/>
      <c r="D11" s="39"/>
      <c r="E11" s="39"/>
      <c r="F11" s="39"/>
      <c r="G11" s="39"/>
      <c r="H11" s="39"/>
      <c r="I11" s="40"/>
      <c r="J11" s="39"/>
      <c r="K11" s="23"/>
      <c r="L11" s="45"/>
      <c r="M11" s="46"/>
      <c r="N11" s="46"/>
      <c r="O11" s="46"/>
      <c r="P11" s="46"/>
      <c r="Q11" s="46"/>
      <c r="R11" s="46"/>
      <c r="S11" s="46"/>
      <c r="T11" s="46"/>
      <c r="U11" s="46"/>
      <c r="V11" s="46"/>
      <c r="W11" s="46"/>
      <c r="X11" s="46"/>
      <c r="Y11" s="46"/>
      <c r="Z11" s="46"/>
      <c r="AA11" s="46"/>
      <c r="AB11" s="46"/>
      <c r="AC11" s="46"/>
      <c r="AD11" s="46"/>
      <c r="AE11" s="47"/>
      <c r="AF11" s="23"/>
      <c r="AG11" s="23"/>
    </row>
    <row r="12" spans="1:33" x14ac:dyDescent="0.25">
      <c r="A12" s="32">
        <v>9</v>
      </c>
      <c r="B12" s="39"/>
      <c r="C12" s="39"/>
      <c r="D12" s="39"/>
      <c r="E12" s="39"/>
      <c r="F12" s="39"/>
      <c r="G12" s="39"/>
      <c r="H12" s="39"/>
      <c r="I12" s="40"/>
      <c r="J12" s="39"/>
      <c r="K12" s="23"/>
      <c r="L12" s="45"/>
      <c r="M12" s="52" t="s">
        <v>45</v>
      </c>
      <c r="N12" s="46"/>
      <c r="O12" s="46"/>
      <c r="P12" s="49" t="str">
        <f>VLOOKUP((MAX($A$4:$A$104)-COUNTBLANK($B$4:$B$104)),$A$4:$J$104,8)</f>
        <v>770.842.5902</v>
      </c>
      <c r="Q12" s="50"/>
      <c r="R12" s="50"/>
      <c r="S12" s="50"/>
      <c r="T12" s="50"/>
      <c r="U12" s="51"/>
      <c r="V12" s="46"/>
      <c r="W12" s="60" t="s">
        <v>99</v>
      </c>
      <c r="X12" s="46"/>
      <c r="Y12" s="49" t="str">
        <f>VLOOKUP((MAX($A$4:$A$104)-COUNTBLANK($B$4:$B$104)),$A$4:$J$104,9)</f>
        <v>Plan A</v>
      </c>
      <c r="Z12" s="50"/>
      <c r="AA12" s="50"/>
      <c r="AB12" s="50"/>
      <c r="AC12" s="50"/>
      <c r="AD12" s="51"/>
      <c r="AE12" s="47"/>
      <c r="AF12" s="23"/>
      <c r="AG12" s="23"/>
    </row>
    <row r="13" spans="1:33" x14ac:dyDescent="0.25">
      <c r="A13" s="32">
        <v>10</v>
      </c>
      <c r="B13" s="39"/>
      <c r="C13" s="39"/>
      <c r="D13" s="39"/>
      <c r="E13" s="39"/>
      <c r="F13" s="39"/>
      <c r="G13" s="39"/>
      <c r="H13" s="39"/>
      <c r="I13" s="40"/>
      <c r="J13" s="39"/>
      <c r="K13" s="23"/>
      <c r="L13" s="45"/>
      <c r="M13" s="46"/>
      <c r="N13" s="46"/>
      <c r="O13" s="46"/>
      <c r="P13" s="46"/>
      <c r="Q13" s="46"/>
      <c r="R13" s="46"/>
      <c r="S13" s="46"/>
      <c r="T13" s="46"/>
      <c r="U13" s="46"/>
      <c r="V13" s="46"/>
      <c r="W13" s="46"/>
      <c r="X13" s="46"/>
      <c r="Y13" s="46"/>
      <c r="Z13" s="46"/>
      <c r="AA13" s="46"/>
      <c r="AB13" s="46"/>
      <c r="AC13" s="46"/>
      <c r="AD13" s="46"/>
      <c r="AE13" s="47"/>
      <c r="AF13" s="23"/>
      <c r="AG13" s="23"/>
    </row>
    <row r="14" spans="1:33" x14ac:dyDescent="0.25">
      <c r="A14" s="32">
        <v>11</v>
      </c>
      <c r="B14" s="39"/>
      <c r="C14" s="39"/>
      <c r="D14" s="39"/>
      <c r="E14" s="39"/>
      <c r="F14" s="39"/>
      <c r="G14" s="39"/>
      <c r="H14" s="39"/>
      <c r="I14" s="40"/>
      <c r="J14" s="39"/>
      <c r="K14" s="23"/>
      <c r="L14" s="45"/>
      <c r="M14" s="52" t="s">
        <v>90</v>
      </c>
      <c r="N14" s="46"/>
      <c r="O14" s="46"/>
      <c r="P14" s="46"/>
      <c r="Q14" s="46"/>
      <c r="R14" s="46"/>
      <c r="S14" s="46"/>
      <c r="T14" s="46"/>
      <c r="U14" s="46"/>
      <c r="V14" s="46"/>
      <c r="W14" s="46"/>
      <c r="X14" s="46"/>
      <c r="Y14" s="423">
        <f>VLOOKUP((MAX($A$4:$A$104)-COUNTBLANK($B$4:$B$104)),$A$4:$J$104,10)</f>
        <v>124533.45</v>
      </c>
      <c r="Z14" s="424"/>
      <c r="AA14" s="424"/>
      <c r="AB14" s="424"/>
      <c r="AC14" s="424"/>
      <c r="AD14" s="425"/>
      <c r="AE14" s="47"/>
      <c r="AF14" s="23"/>
      <c r="AG14" s="23"/>
    </row>
    <row r="15" spans="1:33" x14ac:dyDescent="0.25">
      <c r="A15" s="32">
        <v>12</v>
      </c>
      <c r="B15" s="39"/>
      <c r="C15" s="39"/>
      <c r="D15" s="39"/>
      <c r="E15" s="39"/>
      <c r="F15" s="39"/>
      <c r="G15" s="39"/>
      <c r="H15" s="39"/>
      <c r="I15" s="40"/>
      <c r="J15" s="39"/>
      <c r="K15" s="23"/>
      <c r="L15" s="45"/>
      <c r="M15" s="46"/>
      <c r="N15" s="46"/>
      <c r="O15" s="46"/>
      <c r="P15" s="46"/>
      <c r="Q15" s="46"/>
      <c r="R15" s="46"/>
      <c r="S15" s="46"/>
      <c r="T15" s="46"/>
      <c r="U15" s="46"/>
      <c r="V15" s="46"/>
      <c r="W15" s="46"/>
      <c r="X15" s="46"/>
      <c r="Y15" s="46"/>
      <c r="Z15" s="46"/>
      <c r="AA15" s="46"/>
      <c r="AB15" s="46"/>
      <c r="AC15" s="46"/>
      <c r="AD15" s="46"/>
      <c r="AE15" s="47"/>
      <c r="AF15" s="23"/>
      <c r="AG15" s="23"/>
    </row>
    <row r="16" spans="1:33" x14ac:dyDescent="0.25">
      <c r="A16" s="32">
        <v>13</v>
      </c>
      <c r="B16" s="39"/>
      <c r="C16" s="39"/>
      <c r="D16" s="39"/>
      <c r="E16" s="39"/>
      <c r="F16" s="39"/>
      <c r="G16" s="39"/>
      <c r="H16" s="39"/>
      <c r="I16" s="40"/>
      <c r="J16" s="39"/>
      <c r="K16" s="23"/>
      <c r="L16" s="303" t="s">
        <v>91</v>
      </c>
      <c r="M16" s="304"/>
      <c r="N16" s="304"/>
      <c r="O16" s="304"/>
      <c r="P16" s="304"/>
      <c r="Q16" s="304"/>
      <c r="R16" s="304"/>
      <c r="S16" s="304"/>
      <c r="T16" s="304"/>
      <c r="U16" s="304"/>
      <c r="V16" s="304"/>
      <c r="W16" s="304"/>
      <c r="X16" s="304"/>
      <c r="Y16" s="304"/>
      <c r="Z16" s="304"/>
      <c r="AA16" s="304"/>
      <c r="AB16" s="304"/>
      <c r="AC16" s="304"/>
      <c r="AD16" s="304"/>
      <c r="AE16" s="305"/>
      <c r="AF16" s="23"/>
      <c r="AG16" s="23"/>
    </row>
    <row r="17" spans="1:33" ht="16.5" thickBot="1" x14ac:dyDescent="0.3">
      <c r="A17" s="32">
        <v>14</v>
      </c>
      <c r="B17" s="39"/>
      <c r="C17" s="39"/>
      <c r="D17" s="39"/>
      <c r="E17" s="39"/>
      <c r="F17" s="39"/>
      <c r="G17" s="39"/>
      <c r="H17" s="39"/>
      <c r="I17" s="40"/>
      <c r="J17" s="39"/>
      <c r="K17" s="23"/>
      <c r="L17" s="61"/>
      <c r="M17" s="62"/>
      <c r="N17" s="62"/>
      <c r="O17" s="62"/>
      <c r="P17" s="62"/>
      <c r="Q17" s="62"/>
      <c r="R17" s="62"/>
      <c r="S17" s="62"/>
      <c r="T17" s="62"/>
      <c r="U17" s="62"/>
      <c r="V17" s="62"/>
      <c r="W17" s="62"/>
      <c r="X17" s="62"/>
      <c r="Y17" s="62"/>
      <c r="Z17" s="62"/>
      <c r="AA17" s="62"/>
      <c r="AB17" s="62"/>
      <c r="AC17" s="62"/>
      <c r="AD17" s="62"/>
      <c r="AE17" s="63"/>
      <c r="AF17" s="23"/>
      <c r="AG17" s="23"/>
    </row>
    <row r="18" spans="1:33" x14ac:dyDescent="0.25">
      <c r="A18" s="32">
        <v>15</v>
      </c>
      <c r="B18" s="39"/>
      <c r="C18" s="39"/>
      <c r="D18" s="39"/>
      <c r="E18" s="39"/>
      <c r="F18" s="39"/>
      <c r="G18" s="39"/>
      <c r="H18" s="39"/>
      <c r="I18" s="40"/>
      <c r="J18" s="39"/>
      <c r="K18" s="23"/>
      <c r="L18" s="23"/>
      <c r="M18" s="23"/>
      <c r="N18" s="23"/>
      <c r="O18" s="23"/>
      <c r="P18" s="23"/>
      <c r="Q18" s="23"/>
      <c r="R18" s="23"/>
      <c r="S18" s="23"/>
      <c r="T18" s="23"/>
      <c r="U18" s="23"/>
      <c r="V18" s="23"/>
      <c r="W18" s="23"/>
      <c r="X18" s="23"/>
      <c r="Y18" s="23"/>
      <c r="Z18" s="23"/>
      <c r="AA18" s="23"/>
      <c r="AB18" s="23"/>
      <c r="AC18" s="23"/>
      <c r="AD18" s="23"/>
      <c r="AE18" s="23"/>
      <c r="AF18" s="23"/>
      <c r="AG18" s="23"/>
    </row>
    <row r="19" spans="1:33" x14ac:dyDescent="0.25">
      <c r="A19" s="32">
        <v>16</v>
      </c>
      <c r="B19" s="39"/>
      <c r="C19" s="39"/>
      <c r="D19" s="39"/>
      <c r="E19" s="39"/>
      <c r="F19" s="39"/>
      <c r="G19" s="39"/>
      <c r="H19" s="39"/>
      <c r="I19" s="40"/>
      <c r="J19" s="39"/>
      <c r="K19" s="23"/>
      <c r="L19" s="23"/>
      <c r="M19" s="23"/>
      <c r="N19" s="23"/>
      <c r="O19" s="23"/>
      <c r="P19" s="23"/>
      <c r="Q19" s="23"/>
      <c r="R19" s="23"/>
      <c r="S19" s="23"/>
      <c r="T19" s="23"/>
      <c r="U19" s="23"/>
      <c r="V19" s="23"/>
      <c r="W19" s="23"/>
      <c r="X19" s="23"/>
      <c r="Y19" s="23"/>
      <c r="Z19" s="23"/>
      <c r="AA19" s="23"/>
      <c r="AB19" s="23"/>
      <c r="AC19" s="23"/>
      <c r="AD19" s="23"/>
      <c r="AE19" s="23"/>
      <c r="AF19" s="23"/>
      <c r="AG19" s="23"/>
    </row>
    <row r="20" spans="1:33" x14ac:dyDescent="0.25">
      <c r="A20" s="32">
        <v>17</v>
      </c>
      <c r="B20" s="39"/>
      <c r="C20" s="39"/>
      <c r="D20" s="39"/>
      <c r="E20" s="39"/>
      <c r="F20" s="39"/>
      <c r="G20" s="39"/>
      <c r="H20" s="39"/>
      <c r="I20" s="40"/>
      <c r="J20" s="39"/>
      <c r="K20" s="23"/>
      <c r="L20" s="23"/>
      <c r="M20" s="23"/>
      <c r="N20" s="23"/>
      <c r="O20" s="23"/>
      <c r="P20" s="23"/>
      <c r="Q20" s="23"/>
      <c r="R20" s="23"/>
      <c r="S20" s="23"/>
      <c r="T20" s="23"/>
      <c r="U20" s="23"/>
      <c r="V20" s="23"/>
      <c r="W20" s="23"/>
      <c r="X20" s="23"/>
      <c r="Y20" s="23"/>
      <c r="Z20" s="23"/>
      <c r="AA20" s="23"/>
      <c r="AB20" s="23"/>
      <c r="AC20" s="23"/>
      <c r="AD20" s="23"/>
      <c r="AE20" s="23"/>
      <c r="AF20" s="23"/>
      <c r="AG20" s="23"/>
    </row>
    <row r="21" spans="1:33" x14ac:dyDescent="0.25">
      <c r="A21" s="32">
        <v>18</v>
      </c>
      <c r="B21" s="39"/>
      <c r="C21" s="39"/>
      <c r="D21" s="39"/>
      <c r="E21" s="39"/>
      <c r="F21" s="39"/>
      <c r="G21" s="39"/>
      <c r="H21" s="39"/>
      <c r="I21" s="40"/>
      <c r="J21" s="39"/>
      <c r="K21" s="23"/>
      <c r="L21" s="23"/>
      <c r="M21" s="23"/>
      <c r="N21" s="23"/>
      <c r="O21" s="23"/>
      <c r="P21" s="23"/>
      <c r="Q21" s="23"/>
      <c r="R21" s="23"/>
      <c r="S21" s="23"/>
      <c r="T21" s="23"/>
      <c r="U21" s="23"/>
      <c r="V21" s="23"/>
      <c r="W21" s="23"/>
      <c r="X21" s="23"/>
      <c r="Y21" s="23"/>
      <c r="Z21" s="23"/>
      <c r="AA21" s="23"/>
      <c r="AB21" s="23"/>
      <c r="AC21" s="23"/>
      <c r="AD21" s="23"/>
      <c r="AE21" s="23"/>
      <c r="AF21" s="23"/>
      <c r="AG21" s="23"/>
    </row>
    <row r="22" spans="1:33" x14ac:dyDescent="0.25">
      <c r="A22" s="32">
        <v>19</v>
      </c>
      <c r="B22" s="39"/>
      <c r="C22" s="39"/>
      <c r="D22" s="39"/>
      <c r="E22" s="39"/>
      <c r="F22" s="39"/>
      <c r="G22" s="39"/>
      <c r="H22" s="39"/>
      <c r="I22" s="40"/>
      <c r="J22" s="39"/>
      <c r="K22" s="23"/>
      <c r="L22" s="23"/>
      <c r="M22" s="23"/>
      <c r="N22" s="23"/>
      <c r="O22" s="23"/>
      <c r="P22" s="23"/>
      <c r="Q22" s="23"/>
      <c r="R22" s="23"/>
      <c r="S22" s="23"/>
      <c r="T22" s="23"/>
      <c r="U22" s="23"/>
      <c r="V22" s="23"/>
      <c r="W22" s="23"/>
      <c r="X22" s="23"/>
      <c r="Y22" s="23"/>
      <c r="Z22" s="23"/>
      <c r="AA22" s="23"/>
      <c r="AB22" s="23"/>
      <c r="AC22" s="23"/>
      <c r="AD22" s="23"/>
      <c r="AE22" s="23"/>
      <c r="AF22" s="23"/>
      <c r="AG22" s="23"/>
    </row>
    <row r="23" spans="1:33" x14ac:dyDescent="0.25">
      <c r="A23" s="32">
        <v>20</v>
      </c>
      <c r="B23" s="39"/>
      <c r="C23" s="39"/>
      <c r="D23" s="39"/>
      <c r="E23" s="39"/>
      <c r="F23" s="39"/>
      <c r="G23" s="39"/>
      <c r="H23" s="39"/>
      <c r="I23" s="40"/>
      <c r="J23" s="39"/>
      <c r="K23" s="23"/>
      <c r="L23" s="23"/>
      <c r="M23" s="23"/>
      <c r="N23" s="23"/>
      <c r="O23" s="23"/>
      <c r="P23" s="23"/>
      <c r="Q23" s="23"/>
      <c r="R23" s="23"/>
      <c r="S23" s="23"/>
      <c r="T23" s="23"/>
      <c r="U23" s="23"/>
      <c r="V23" s="23"/>
      <c r="W23" s="23"/>
      <c r="X23" s="23"/>
      <c r="Y23" s="23"/>
      <c r="Z23" s="23"/>
      <c r="AA23" s="23"/>
      <c r="AB23" s="23"/>
      <c r="AC23" s="23"/>
      <c r="AD23" s="23"/>
      <c r="AE23" s="23"/>
      <c r="AF23" s="23"/>
      <c r="AG23" s="23"/>
    </row>
    <row r="24" spans="1:33" x14ac:dyDescent="0.25">
      <c r="A24" s="32">
        <v>21</v>
      </c>
      <c r="B24" s="39"/>
      <c r="C24" s="39"/>
      <c r="D24" s="39"/>
      <c r="E24" s="39"/>
      <c r="F24" s="39"/>
      <c r="G24" s="39"/>
      <c r="H24" s="39"/>
      <c r="I24" s="40"/>
      <c r="J24" s="39"/>
      <c r="K24" s="23"/>
      <c r="L24" s="23"/>
      <c r="M24" s="23"/>
      <c r="N24" s="23"/>
      <c r="O24" s="23"/>
      <c r="P24" s="23"/>
      <c r="Q24" s="23"/>
      <c r="R24" s="23"/>
      <c r="S24" s="23"/>
      <c r="T24" s="23"/>
      <c r="U24" s="23"/>
      <c r="V24" s="23"/>
      <c r="W24" s="23"/>
      <c r="X24" s="23"/>
      <c r="Y24" s="23"/>
      <c r="Z24" s="23"/>
      <c r="AA24" s="23"/>
      <c r="AB24" s="23"/>
      <c r="AC24" s="23"/>
      <c r="AD24" s="23"/>
      <c r="AE24" s="23"/>
      <c r="AF24" s="23"/>
      <c r="AG24" s="23"/>
    </row>
    <row r="25" spans="1:33" x14ac:dyDescent="0.25">
      <c r="A25" s="32">
        <v>22</v>
      </c>
      <c r="B25" s="39"/>
      <c r="C25" s="39"/>
      <c r="D25" s="39"/>
      <c r="E25" s="39"/>
      <c r="F25" s="39"/>
      <c r="G25" s="39"/>
      <c r="H25" s="39"/>
      <c r="I25" s="40"/>
      <c r="J25" s="39"/>
      <c r="K25" s="23"/>
      <c r="L25" s="23"/>
      <c r="M25" s="23"/>
      <c r="N25" s="23"/>
      <c r="O25" s="23"/>
      <c r="P25" s="23"/>
      <c r="Q25" s="23"/>
      <c r="R25" s="23"/>
      <c r="S25" s="23"/>
      <c r="T25" s="23"/>
      <c r="U25" s="23"/>
      <c r="V25" s="23"/>
      <c r="W25" s="23"/>
      <c r="X25" s="23"/>
      <c r="Y25" s="23"/>
      <c r="Z25" s="23"/>
      <c r="AA25" s="23"/>
      <c r="AB25" s="23"/>
      <c r="AC25" s="23"/>
      <c r="AD25" s="23"/>
      <c r="AE25" s="23"/>
      <c r="AF25" s="23"/>
      <c r="AG25" s="23"/>
    </row>
    <row r="26" spans="1:33" x14ac:dyDescent="0.25">
      <c r="A26" s="32">
        <v>23</v>
      </c>
      <c r="B26" s="39"/>
      <c r="C26" s="39"/>
      <c r="D26" s="39"/>
      <c r="E26" s="39"/>
      <c r="F26" s="39"/>
      <c r="G26" s="39"/>
      <c r="H26" s="39"/>
      <c r="I26" s="40"/>
      <c r="J26" s="39"/>
      <c r="K26" s="23"/>
      <c r="L26" s="23"/>
      <c r="M26" s="23"/>
      <c r="N26" s="23"/>
      <c r="O26" s="23"/>
      <c r="P26" s="23"/>
      <c r="Q26" s="23"/>
      <c r="R26" s="23"/>
      <c r="S26" s="23"/>
      <c r="T26" s="23"/>
      <c r="U26" s="23"/>
      <c r="V26" s="23"/>
      <c r="W26" s="23"/>
      <c r="X26" s="23"/>
      <c r="Y26" s="23"/>
      <c r="Z26" s="23"/>
      <c r="AA26" s="23"/>
      <c r="AB26" s="23"/>
      <c r="AC26" s="23"/>
      <c r="AD26" s="23"/>
      <c r="AE26" s="23"/>
      <c r="AF26" s="23"/>
      <c r="AG26" s="23"/>
    </row>
    <row r="27" spans="1:33" x14ac:dyDescent="0.25">
      <c r="A27" s="32">
        <v>24</v>
      </c>
      <c r="B27" s="39"/>
      <c r="C27" s="39"/>
      <c r="D27" s="39"/>
      <c r="E27" s="39"/>
      <c r="F27" s="39"/>
      <c r="G27" s="39"/>
      <c r="H27" s="39"/>
      <c r="I27" s="40"/>
      <c r="J27" s="39"/>
      <c r="K27" s="23"/>
      <c r="L27" s="23"/>
      <c r="M27" s="23"/>
      <c r="N27" s="23"/>
      <c r="O27" s="23"/>
      <c r="P27" s="23"/>
      <c r="Q27" s="23"/>
      <c r="R27" s="23"/>
      <c r="S27" s="23"/>
      <c r="T27" s="23"/>
      <c r="U27" s="23"/>
      <c r="V27" s="23"/>
      <c r="W27" s="23"/>
      <c r="X27" s="23"/>
      <c r="Y27" s="23"/>
      <c r="Z27" s="23"/>
      <c r="AA27" s="23"/>
      <c r="AB27" s="23"/>
      <c r="AC27" s="23"/>
      <c r="AD27" s="23"/>
      <c r="AE27" s="23"/>
      <c r="AF27" s="23"/>
      <c r="AG27" s="23"/>
    </row>
    <row r="28" spans="1:33" x14ac:dyDescent="0.25">
      <c r="A28" s="32">
        <v>25</v>
      </c>
      <c r="B28" s="39"/>
      <c r="C28" s="39"/>
      <c r="D28" s="39"/>
      <c r="E28" s="39"/>
      <c r="F28" s="39"/>
      <c r="G28" s="39"/>
      <c r="H28" s="39"/>
      <c r="I28" s="40"/>
      <c r="J28" s="39"/>
      <c r="K28" s="23"/>
      <c r="L28" s="23"/>
      <c r="M28" s="23"/>
      <c r="N28" s="23"/>
      <c r="O28" s="23"/>
      <c r="P28" s="23"/>
      <c r="Q28" s="23"/>
      <c r="R28" s="23"/>
      <c r="S28" s="23"/>
      <c r="T28" s="23"/>
      <c r="U28" s="23"/>
      <c r="V28" s="23"/>
      <c r="W28" s="23"/>
      <c r="X28" s="23"/>
      <c r="Y28" s="23"/>
      <c r="Z28" s="23"/>
      <c r="AA28" s="23"/>
      <c r="AB28" s="23"/>
      <c r="AC28" s="23"/>
      <c r="AD28" s="23"/>
      <c r="AE28" s="23"/>
      <c r="AF28" s="23"/>
      <c r="AG28" s="23"/>
    </row>
    <row r="29" spans="1:33" x14ac:dyDescent="0.25">
      <c r="A29" s="32">
        <v>26</v>
      </c>
      <c r="B29" s="39"/>
      <c r="C29" s="39"/>
      <c r="D29" s="39"/>
      <c r="E29" s="39"/>
      <c r="F29" s="39"/>
      <c r="G29" s="39"/>
      <c r="H29" s="39"/>
      <c r="I29" s="40"/>
      <c r="J29" s="39"/>
      <c r="K29" s="23"/>
      <c r="L29" s="23"/>
      <c r="M29" s="23"/>
      <c r="N29" s="23"/>
      <c r="O29" s="23"/>
      <c r="P29" s="23"/>
      <c r="Q29" s="23"/>
      <c r="R29" s="23"/>
      <c r="S29" s="23"/>
      <c r="T29" s="23"/>
      <c r="U29" s="23"/>
      <c r="V29" s="23"/>
      <c r="W29" s="23"/>
      <c r="X29" s="23"/>
      <c r="Y29" s="23"/>
      <c r="Z29" s="23"/>
      <c r="AA29" s="23"/>
      <c r="AB29" s="23"/>
      <c r="AC29" s="23"/>
      <c r="AD29" s="23"/>
      <c r="AE29" s="23"/>
      <c r="AF29" s="23"/>
      <c r="AG29" s="23"/>
    </row>
    <row r="30" spans="1:33" x14ac:dyDescent="0.25">
      <c r="A30" s="32">
        <v>27</v>
      </c>
      <c r="B30" s="39"/>
      <c r="C30" s="39"/>
      <c r="D30" s="39"/>
      <c r="E30" s="39"/>
      <c r="F30" s="39"/>
      <c r="G30" s="39"/>
      <c r="H30" s="39"/>
      <c r="I30" s="40"/>
      <c r="J30" s="39"/>
      <c r="K30" s="23"/>
      <c r="L30" s="23"/>
      <c r="M30" s="23"/>
      <c r="N30" s="23"/>
      <c r="O30" s="23"/>
      <c r="P30" s="23"/>
      <c r="Q30" s="23"/>
      <c r="R30" s="23"/>
      <c r="S30" s="23"/>
      <c r="T30" s="23"/>
      <c r="U30" s="23"/>
      <c r="V30" s="23"/>
      <c r="W30" s="23"/>
      <c r="X30" s="23"/>
      <c r="Y30" s="23"/>
      <c r="Z30" s="23"/>
      <c r="AA30" s="23"/>
      <c r="AB30" s="23"/>
      <c r="AC30" s="23"/>
      <c r="AD30" s="23"/>
      <c r="AE30" s="23"/>
      <c r="AF30" s="23"/>
    </row>
    <row r="31" spans="1:33" x14ac:dyDescent="0.25">
      <c r="A31" s="32">
        <v>28</v>
      </c>
      <c r="B31" s="39"/>
      <c r="C31" s="39"/>
      <c r="D31" s="39"/>
      <c r="E31" s="39"/>
      <c r="F31" s="39"/>
      <c r="G31" s="39"/>
      <c r="H31" s="39"/>
      <c r="I31" s="40"/>
      <c r="J31" s="39"/>
      <c r="K31" s="23"/>
      <c r="L31" s="23"/>
      <c r="M31" s="23"/>
      <c r="N31" s="23"/>
      <c r="O31" s="23"/>
      <c r="P31" s="23"/>
      <c r="Q31" s="23"/>
      <c r="R31" s="23"/>
      <c r="S31" s="23"/>
      <c r="T31" s="23"/>
      <c r="U31" s="23"/>
      <c r="V31" s="23"/>
      <c r="W31" s="23"/>
      <c r="X31" s="23"/>
      <c r="Y31" s="23"/>
      <c r="Z31" s="23"/>
      <c r="AA31" s="23"/>
      <c r="AB31" s="23"/>
      <c r="AC31" s="23"/>
      <c r="AD31" s="23"/>
      <c r="AE31" s="23"/>
      <c r="AF31" s="23"/>
    </row>
    <row r="32" spans="1:33" x14ac:dyDescent="0.25">
      <c r="A32" s="32">
        <v>29</v>
      </c>
      <c r="B32" s="39"/>
      <c r="C32" s="39"/>
      <c r="D32" s="39"/>
      <c r="E32" s="39"/>
      <c r="F32" s="39"/>
      <c r="G32" s="39"/>
      <c r="H32" s="39"/>
      <c r="I32" s="40"/>
      <c r="J32" s="39"/>
      <c r="K32" s="23"/>
      <c r="L32" s="23"/>
      <c r="M32" s="23"/>
      <c r="N32" s="23"/>
      <c r="O32" s="23"/>
      <c r="P32" s="23"/>
      <c r="Q32" s="23"/>
      <c r="R32" s="23"/>
      <c r="S32" s="23"/>
      <c r="T32" s="23"/>
      <c r="U32" s="23"/>
      <c r="V32" s="23"/>
      <c r="W32" s="23"/>
      <c r="X32" s="23"/>
      <c r="Y32" s="23"/>
      <c r="Z32" s="23"/>
      <c r="AA32" s="23"/>
      <c r="AB32" s="23"/>
      <c r="AC32" s="23"/>
      <c r="AD32" s="23"/>
      <c r="AE32" s="23"/>
      <c r="AF32" s="23"/>
    </row>
    <row r="33" spans="1:32" x14ac:dyDescent="0.25">
      <c r="A33" s="32">
        <v>30</v>
      </c>
      <c r="B33" s="39"/>
      <c r="C33" s="39"/>
      <c r="D33" s="39"/>
      <c r="E33" s="39"/>
      <c r="F33" s="39"/>
      <c r="G33" s="39"/>
      <c r="H33" s="39"/>
      <c r="I33" s="40"/>
      <c r="J33" s="39"/>
      <c r="K33" s="23"/>
      <c r="L33" s="23"/>
      <c r="M33" s="23"/>
      <c r="N33" s="23"/>
      <c r="O33" s="23"/>
      <c r="P33" s="23"/>
      <c r="Q33" s="23"/>
      <c r="R33" s="23"/>
      <c r="S33" s="23"/>
      <c r="T33" s="23"/>
      <c r="U33" s="23"/>
      <c r="V33" s="23"/>
      <c r="W33" s="23"/>
      <c r="X33" s="23"/>
      <c r="Y33" s="23"/>
      <c r="Z33" s="23"/>
      <c r="AA33" s="23"/>
      <c r="AB33" s="23"/>
      <c r="AC33" s="23"/>
      <c r="AD33" s="23"/>
      <c r="AE33" s="23"/>
      <c r="AF33" s="23"/>
    </row>
    <row r="34" spans="1:32" x14ac:dyDescent="0.25">
      <c r="A34" s="32">
        <v>31</v>
      </c>
      <c r="B34" s="39"/>
      <c r="C34" s="39"/>
      <c r="D34" s="39"/>
      <c r="E34" s="39"/>
      <c r="F34" s="39"/>
      <c r="G34" s="39"/>
      <c r="H34" s="39"/>
      <c r="I34" s="40"/>
      <c r="J34" s="39"/>
      <c r="K34" s="23"/>
      <c r="L34" s="23"/>
      <c r="M34" s="23"/>
      <c r="N34" s="23"/>
      <c r="O34" s="23"/>
      <c r="P34" s="23"/>
      <c r="Q34" s="23"/>
      <c r="R34" s="23"/>
      <c r="S34" s="23"/>
      <c r="T34" s="23"/>
      <c r="U34" s="23"/>
      <c r="V34" s="23"/>
      <c r="W34" s="23"/>
      <c r="X34" s="23"/>
      <c r="Y34" s="23"/>
      <c r="Z34" s="23"/>
      <c r="AA34" s="23"/>
      <c r="AB34" s="23"/>
      <c r="AC34" s="23"/>
      <c r="AD34" s="23"/>
      <c r="AE34" s="23"/>
      <c r="AF34" s="23"/>
    </row>
    <row r="35" spans="1:32" x14ac:dyDescent="0.25">
      <c r="A35" s="32">
        <v>32</v>
      </c>
      <c r="B35" s="39"/>
      <c r="C35" s="39"/>
      <c r="D35" s="39"/>
      <c r="E35" s="39"/>
      <c r="F35" s="39"/>
      <c r="G35" s="39"/>
      <c r="H35" s="39"/>
      <c r="I35" s="40"/>
      <c r="J35" s="39"/>
      <c r="K35" s="23"/>
      <c r="L35" s="23"/>
      <c r="M35" s="23"/>
      <c r="N35" s="23"/>
      <c r="O35" s="23"/>
      <c r="P35" s="23"/>
      <c r="Q35" s="23"/>
      <c r="R35" s="23"/>
      <c r="S35" s="23"/>
      <c r="T35" s="23"/>
      <c r="U35" s="23"/>
      <c r="V35" s="23"/>
      <c r="W35" s="23"/>
      <c r="X35" s="23"/>
      <c r="Y35" s="23"/>
      <c r="Z35" s="23"/>
      <c r="AA35" s="23"/>
      <c r="AB35" s="23"/>
      <c r="AC35" s="23"/>
      <c r="AD35" s="23"/>
      <c r="AE35" s="23"/>
      <c r="AF35" s="23"/>
    </row>
    <row r="36" spans="1:32" x14ac:dyDescent="0.25">
      <c r="A36" s="32">
        <v>33</v>
      </c>
      <c r="B36" s="39"/>
      <c r="C36" s="39"/>
      <c r="D36" s="39"/>
      <c r="E36" s="39"/>
      <c r="F36" s="39"/>
      <c r="G36" s="39"/>
      <c r="H36" s="39"/>
      <c r="I36" s="40"/>
      <c r="J36" s="39"/>
      <c r="K36" s="23"/>
      <c r="L36" s="23"/>
      <c r="M36" s="23"/>
      <c r="N36" s="23"/>
      <c r="O36" s="23"/>
      <c r="P36" s="23"/>
      <c r="Q36" s="23"/>
      <c r="R36" s="23"/>
      <c r="S36" s="23"/>
      <c r="T36" s="23"/>
      <c r="U36" s="23"/>
      <c r="V36" s="23"/>
      <c r="W36" s="23"/>
      <c r="X36" s="23"/>
      <c r="Y36" s="23"/>
      <c r="Z36" s="23"/>
      <c r="AA36" s="23"/>
      <c r="AB36" s="23"/>
      <c r="AC36" s="23"/>
      <c r="AD36" s="23"/>
      <c r="AE36" s="23"/>
      <c r="AF36" s="23"/>
    </row>
    <row r="37" spans="1:32" x14ac:dyDescent="0.25">
      <c r="A37" s="32">
        <v>34</v>
      </c>
      <c r="B37" s="39"/>
      <c r="C37" s="39"/>
      <c r="D37" s="39"/>
      <c r="E37" s="39"/>
      <c r="F37" s="39"/>
      <c r="G37" s="39"/>
      <c r="H37" s="39"/>
      <c r="I37" s="40"/>
      <c r="J37" s="39"/>
      <c r="K37" s="23"/>
      <c r="L37" s="23"/>
      <c r="M37" s="23"/>
      <c r="N37" s="23"/>
      <c r="O37" s="23"/>
      <c r="P37" s="23"/>
      <c r="Q37" s="23"/>
      <c r="R37" s="23"/>
      <c r="S37" s="23"/>
      <c r="T37" s="23"/>
      <c r="U37" s="23"/>
      <c r="V37" s="23"/>
      <c r="W37" s="23"/>
      <c r="X37" s="23"/>
      <c r="Y37" s="23"/>
      <c r="Z37" s="23"/>
      <c r="AA37" s="23"/>
      <c r="AB37" s="23"/>
      <c r="AC37" s="23"/>
      <c r="AD37" s="23"/>
      <c r="AE37" s="23"/>
      <c r="AF37" s="23"/>
    </row>
    <row r="38" spans="1:32" x14ac:dyDescent="0.25">
      <c r="A38" s="32">
        <v>35</v>
      </c>
      <c r="B38" s="39"/>
      <c r="C38" s="39"/>
      <c r="D38" s="39"/>
      <c r="E38" s="39"/>
      <c r="F38" s="39"/>
      <c r="G38" s="39"/>
      <c r="H38" s="39"/>
      <c r="I38" s="40"/>
      <c r="J38" s="39"/>
      <c r="K38" s="23"/>
      <c r="L38" s="23"/>
      <c r="M38" s="23"/>
      <c r="N38" s="23"/>
      <c r="O38" s="23"/>
      <c r="P38" s="23"/>
      <c r="Q38" s="23"/>
      <c r="R38" s="23"/>
      <c r="S38" s="23"/>
      <c r="T38" s="23"/>
      <c r="U38" s="23"/>
      <c r="V38" s="23"/>
      <c r="W38" s="23"/>
      <c r="X38" s="23"/>
      <c r="Y38" s="23"/>
      <c r="Z38" s="23"/>
      <c r="AA38" s="23"/>
      <c r="AB38" s="23"/>
      <c r="AC38" s="23"/>
      <c r="AD38" s="23"/>
      <c r="AE38" s="23"/>
      <c r="AF38" s="23"/>
    </row>
    <row r="39" spans="1:32" x14ac:dyDescent="0.25">
      <c r="A39" s="32">
        <v>36</v>
      </c>
      <c r="B39" s="39"/>
      <c r="C39" s="39"/>
      <c r="D39" s="39"/>
      <c r="E39" s="39"/>
      <c r="F39" s="39"/>
      <c r="G39" s="39"/>
      <c r="H39" s="39"/>
      <c r="I39" s="40"/>
      <c r="J39" s="39"/>
      <c r="K39" s="23"/>
      <c r="L39" s="23"/>
      <c r="M39" s="23"/>
      <c r="N39" s="23"/>
      <c r="O39" s="23"/>
      <c r="P39" s="23"/>
      <c r="Q39" s="23"/>
      <c r="R39" s="23"/>
      <c r="S39" s="23"/>
      <c r="T39" s="23"/>
      <c r="U39" s="23"/>
      <c r="V39" s="23"/>
      <c r="W39" s="23"/>
      <c r="X39" s="23"/>
      <c r="Y39" s="23"/>
      <c r="Z39" s="23"/>
      <c r="AA39" s="23"/>
      <c r="AB39" s="23"/>
      <c r="AC39" s="23"/>
      <c r="AD39" s="23"/>
      <c r="AE39" s="23"/>
      <c r="AF39" s="23"/>
    </row>
    <row r="40" spans="1:32" x14ac:dyDescent="0.25">
      <c r="A40" s="32">
        <v>37</v>
      </c>
      <c r="B40" s="39"/>
      <c r="C40" s="39"/>
      <c r="D40" s="39"/>
      <c r="E40" s="39"/>
      <c r="F40" s="39"/>
      <c r="G40" s="39"/>
      <c r="H40" s="39"/>
      <c r="I40" s="40"/>
      <c r="J40" s="39"/>
      <c r="K40" s="23"/>
      <c r="L40" s="23"/>
      <c r="M40" s="23"/>
      <c r="N40" s="23"/>
      <c r="O40" s="23"/>
      <c r="P40" s="23"/>
      <c r="Q40" s="23"/>
      <c r="R40" s="23"/>
      <c r="S40" s="23"/>
      <c r="T40" s="23"/>
      <c r="U40" s="23"/>
      <c r="V40" s="23"/>
      <c r="W40" s="23"/>
      <c r="X40" s="23"/>
      <c r="Y40" s="23"/>
      <c r="Z40" s="23"/>
      <c r="AA40" s="23"/>
      <c r="AB40" s="23"/>
      <c r="AC40" s="23"/>
      <c r="AD40" s="23"/>
      <c r="AE40" s="23"/>
      <c r="AF40" s="23"/>
    </row>
    <row r="41" spans="1:32" x14ac:dyDescent="0.25">
      <c r="A41" s="32">
        <v>38</v>
      </c>
      <c r="B41" s="39"/>
      <c r="C41" s="39"/>
      <c r="D41" s="39"/>
      <c r="E41" s="39"/>
      <c r="F41" s="39"/>
      <c r="G41" s="39"/>
      <c r="H41" s="39"/>
      <c r="I41" s="40"/>
      <c r="J41" s="39"/>
      <c r="K41" s="23"/>
      <c r="L41" s="23"/>
      <c r="M41" s="23"/>
      <c r="N41" s="23"/>
      <c r="O41" s="23"/>
      <c r="P41" s="23"/>
      <c r="Q41" s="23"/>
      <c r="R41" s="23"/>
      <c r="S41" s="23"/>
      <c r="T41" s="23"/>
      <c r="U41" s="23"/>
      <c r="V41" s="23"/>
      <c r="W41" s="23"/>
      <c r="X41" s="23"/>
      <c r="Y41" s="23"/>
      <c r="Z41" s="23"/>
      <c r="AA41" s="23"/>
      <c r="AB41" s="23"/>
      <c r="AC41" s="23"/>
      <c r="AD41" s="23"/>
      <c r="AE41" s="23"/>
      <c r="AF41" s="23"/>
    </row>
    <row r="42" spans="1:32" x14ac:dyDescent="0.25">
      <c r="A42" s="32">
        <v>39</v>
      </c>
      <c r="B42" s="39"/>
      <c r="C42" s="39"/>
      <c r="D42" s="39"/>
      <c r="E42" s="39"/>
      <c r="F42" s="39"/>
      <c r="G42" s="39"/>
      <c r="H42" s="39"/>
      <c r="I42" s="40"/>
      <c r="J42" s="39"/>
      <c r="K42" s="23"/>
      <c r="L42" s="23"/>
      <c r="M42" s="23"/>
      <c r="N42" s="23"/>
      <c r="O42" s="23"/>
      <c r="P42" s="23"/>
      <c r="Q42" s="23"/>
      <c r="R42" s="23"/>
      <c r="S42" s="23"/>
      <c r="T42" s="23"/>
      <c r="U42" s="23"/>
      <c r="V42" s="23"/>
      <c r="W42" s="23"/>
      <c r="X42" s="23"/>
      <c r="Y42" s="23"/>
      <c r="Z42" s="23"/>
      <c r="AA42" s="23"/>
      <c r="AB42" s="23"/>
      <c r="AC42" s="23"/>
      <c r="AD42" s="23"/>
      <c r="AE42" s="23"/>
      <c r="AF42" s="23"/>
    </row>
    <row r="43" spans="1:32" x14ac:dyDescent="0.25">
      <c r="A43" s="32">
        <v>40</v>
      </c>
      <c r="B43" s="39"/>
      <c r="C43" s="39"/>
      <c r="D43" s="39"/>
      <c r="E43" s="39"/>
      <c r="F43" s="39"/>
      <c r="G43" s="39"/>
      <c r="H43" s="39"/>
      <c r="I43" s="40"/>
      <c r="J43" s="39"/>
      <c r="K43" s="23"/>
      <c r="L43" s="23"/>
      <c r="M43" s="23"/>
      <c r="N43" s="23"/>
      <c r="O43" s="23"/>
      <c r="P43" s="23"/>
      <c r="Q43" s="23"/>
      <c r="R43" s="23"/>
      <c r="S43" s="23"/>
      <c r="T43" s="23"/>
      <c r="U43" s="23"/>
      <c r="V43" s="23"/>
      <c r="W43" s="23"/>
      <c r="X43" s="23"/>
      <c r="Y43" s="23"/>
      <c r="Z43" s="23"/>
      <c r="AA43" s="23"/>
      <c r="AB43" s="23"/>
      <c r="AC43" s="23"/>
      <c r="AD43" s="23"/>
      <c r="AE43" s="23"/>
      <c r="AF43" s="23"/>
    </row>
    <row r="44" spans="1:32" x14ac:dyDescent="0.25">
      <c r="A44" s="32">
        <v>41</v>
      </c>
      <c r="B44" s="39"/>
      <c r="C44" s="39"/>
      <c r="D44" s="39"/>
      <c r="E44" s="39"/>
      <c r="F44" s="39"/>
      <c r="G44" s="39"/>
      <c r="H44" s="39"/>
      <c r="I44" s="40"/>
      <c r="J44" s="39"/>
      <c r="K44" s="23"/>
      <c r="L44" s="23"/>
      <c r="M44" s="23"/>
      <c r="N44" s="23"/>
      <c r="O44" s="23"/>
      <c r="P44" s="23"/>
      <c r="Q44" s="23"/>
      <c r="R44" s="23"/>
      <c r="S44" s="23"/>
      <c r="T44" s="23"/>
      <c r="U44" s="23"/>
      <c r="V44" s="23"/>
      <c r="W44" s="23"/>
      <c r="X44" s="23"/>
      <c r="Y44" s="23"/>
      <c r="Z44" s="23"/>
      <c r="AA44" s="23"/>
      <c r="AB44" s="23"/>
      <c r="AC44" s="23"/>
      <c r="AD44" s="23"/>
      <c r="AE44" s="23"/>
      <c r="AF44" s="23"/>
    </row>
    <row r="45" spans="1:32" x14ac:dyDescent="0.25">
      <c r="A45" s="32">
        <v>42</v>
      </c>
      <c r="B45" s="39"/>
      <c r="C45" s="39"/>
      <c r="D45" s="39"/>
      <c r="E45" s="39"/>
      <c r="F45" s="39"/>
      <c r="G45" s="39"/>
      <c r="H45" s="39"/>
      <c r="I45" s="40"/>
      <c r="J45" s="39"/>
      <c r="K45" s="23"/>
      <c r="L45" s="23"/>
      <c r="M45" s="23"/>
      <c r="N45" s="23"/>
      <c r="O45" s="23"/>
      <c r="P45" s="23"/>
      <c r="Q45" s="23"/>
      <c r="R45" s="23"/>
      <c r="S45" s="23"/>
      <c r="T45" s="23"/>
      <c r="U45" s="23"/>
      <c r="V45" s="23"/>
      <c r="W45" s="23"/>
      <c r="X45" s="23"/>
      <c r="Y45" s="23"/>
      <c r="Z45" s="23"/>
      <c r="AA45" s="23"/>
      <c r="AB45" s="23"/>
      <c r="AC45" s="23"/>
      <c r="AD45" s="23"/>
      <c r="AE45" s="23"/>
      <c r="AF45" s="23"/>
    </row>
    <row r="46" spans="1:32" x14ac:dyDescent="0.25">
      <c r="A46" s="32">
        <v>43</v>
      </c>
      <c r="B46" s="39"/>
      <c r="C46" s="39"/>
      <c r="D46" s="39"/>
      <c r="E46" s="39"/>
      <c r="F46" s="39"/>
      <c r="G46" s="39"/>
      <c r="H46" s="39"/>
      <c r="I46" s="40"/>
      <c r="J46" s="39"/>
      <c r="K46" s="23"/>
      <c r="L46" s="23"/>
      <c r="M46" s="23"/>
      <c r="N46" s="23"/>
      <c r="O46" s="23"/>
      <c r="P46" s="23"/>
      <c r="Q46" s="23"/>
      <c r="R46" s="23"/>
      <c r="S46" s="23"/>
      <c r="T46" s="23"/>
      <c r="U46" s="23"/>
      <c r="V46" s="23"/>
      <c r="W46" s="23"/>
      <c r="X46" s="23"/>
      <c r="Y46" s="23"/>
      <c r="Z46" s="23"/>
      <c r="AA46" s="23"/>
      <c r="AB46" s="23"/>
      <c r="AC46" s="23"/>
      <c r="AD46" s="23"/>
      <c r="AE46" s="23"/>
      <c r="AF46" s="23"/>
    </row>
    <row r="47" spans="1:32" x14ac:dyDescent="0.25">
      <c r="A47" s="32">
        <v>44</v>
      </c>
      <c r="B47" s="39"/>
      <c r="C47" s="39"/>
      <c r="D47" s="39"/>
      <c r="E47" s="39"/>
      <c r="F47" s="39"/>
      <c r="G47" s="39"/>
      <c r="H47" s="39"/>
      <c r="I47" s="40"/>
      <c r="J47" s="39"/>
      <c r="K47" s="23"/>
      <c r="L47" s="23"/>
      <c r="M47" s="23"/>
      <c r="N47" s="23"/>
      <c r="O47" s="23"/>
      <c r="P47" s="23"/>
      <c r="Q47" s="23"/>
      <c r="R47" s="23"/>
      <c r="S47" s="23"/>
      <c r="T47" s="23"/>
      <c r="U47" s="23"/>
      <c r="V47" s="23"/>
      <c r="W47" s="23"/>
      <c r="X47" s="23"/>
      <c r="Y47" s="23"/>
      <c r="Z47" s="23"/>
      <c r="AA47" s="23"/>
      <c r="AB47" s="23"/>
      <c r="AC47" s="23"/>
      <c r="AD47" s="23"/>
      <c r="AE47" s="23"/>
      <c r="AF47" s="23"/>
    </row>
    <row r="48" spans="1:32" x14ac:dyDescent="0.25">
      <c r="A48" s="32">
        <v>45</v>
      </c>
      <c r="B48" s="39"/>
      <c r="C48" s="39"/>
      <c r="D48" s="39"/>
      <c r="E48" s="39"/>
      <c r="F48" s="39"/>
      <c r="G48" s="39"/>
      <c r="H48" s="39"/>
      <c r="I48" s="40"/>
      <c r="J48" s="39"/>
      <c r="K48" s="23"/>
      <c r="L48" s="23"/>
      <c r="M48" s="23"/>
      <c r="N48" s="23"/>
      <c r="O48" s="23"/>
      <c r="P48" s="23"/>
      <c r="Q48" s="23"/>
      <c r="R48" s="23"/>
      <c r="S48" s="23"/>
      <c r="T48" s="23"/>
      <c r="U48" s="23"/>
      <c r="V48" s="23"/>
      <c r="W48" s="23"/>
      <c r="X48" s="23"/>
      <c r="Y48" s="23"/>
      <c r="Z48" s="23"/>
      <c r="AA48" s="23"/>
      <c r="AB48" s="23"/>
      <c r="AC48" s="23"/>
      <c r="AD48" s="23"/>
      <c r="AE48" s="23"/>
      <c r="AF48" s="23"/>
    </row>
    <row r="49" spans="1:32" x14ac:dyDescent="0.25">
      <c r="A49" s="32">
        <v>46</v>
      </c>
      <c r="B49" s="39"/>
      <c r="C49" s="39"/>
      <c r="D49" s="39"/>
      <c r="E49" s="39"/>
      <c r="F49" s="39"/>
      <c r="G49" s="39"/>
      <c r="H49" s="39"/>
      <c r="I49" s="40"/>
      <c r="J49" s="39"/>
      <c r="K49" s="23"/>
      <c r="L49" s="23"/>
      <c r="M49" s="23"/>
      <c r="N49" s="23"/>
      <c r="O49" s="23"/>
      <c r="P49" s="23"/>
      <c r="Q49" s="23"/>
      <c r="R49" s="23"/>
      <c r="S49" s="23"/>
      <c r="T49" s="23"/>
      <c r="U49" s="23"/>
      <c r="V49" s="23"/>
      <c r="W49" s="23"/>
      <c r="X49" s="23"/>
      <c r="Y49" s="23"/>
      <c r="Z49" s="23"/>
      <c r="AA49" s="23"/>
      <c r="AB49" s="23"/>
      <c r="AC49" s="23"/>
      <c r="AD49" s="23"/>
      <c r="AE49" s="23"/>
      <c r="AF49" s="23"/>
    </row>
    <row r="50" spans="1:32" x14ac:dyDescent="0.25">
      <c r="A50" s="32">
        <v>47</v>
      </c>
      <c r="B50" s="39"/>
      <c r="C50" s="39"/>
      <c r="D50" s="39"/>
      <c r="E50" s="39"/>
      <c r="F50" s="39"/>
      <c r="G50" s="39"/>
      <c r="H50" s="39"/>
      <c r="I50" s="40"/>
      <c r="J50" s="39"/>
      <c r="K50" s="23"/>
      <c r="L50" s="23"/>
      <c r="M50" s="23"/>
      <c r="N50" s="23"/>
      <c r="O50" s="23"/>
      <c r="P50" s="23"/>
      <c r="Q50" s="23"/>
      <c r="R50" s="23"/>
      <c r="S50" s="23"/>
      <c r="T50" s="23"/>
      <c r="U50" s="23"/>
      <c r="V50" s="23"/>
      <c r="W50" s="23"/>
      <c r="X50" s="23"/>
      <c r="Y50" s="23"/>
      <c r="Z50" s="23"/>
      <c r="AA50" s="23"/>
      <c r="AB50" s="23"/>
      <c r="AC50" s="23"/>
      <c r="AD50" s="23"/>
      <c r="AE50" s="23"/>
      <c r="AF50" s="23"/>
    </row>
    <row r="51" spans="1:32" x14ac:dyDescent="0.25">
      <c r="A51" s="32">
        <v>48</v>
      </c>
      <c r="B51" s="39"/>
      <c r="C51" s="39"/>
      <c r="D51" s="39"/>
      <c r="E51" s="39"/>
      <c r="F51" s="39"/>
      <c r="G51" s="39"/>
      <c r="H51" s="39"/>
      <c r="I51" s="40"/>
      <c r="J51" s="39"/>
      <c r="K51" s="23"/>
      <c r="L51" s="23"/>
      <c r="M51" s="23"/>
      <c r="N51" s="23"/>
      <c r="O51" s="23"/>
      <c r="P51" s="23"/>
      <c r="Q51" s="23"/>
      <c r="R51" s="23"/>
      <c r="S51" s="23"/>
      <c r="T51" s="23"/>
      <c r="U51" s="23"/>
      <c r="V51" s="23"/>
      <c r="W51" s="23"/>
      <c r="X51" s="23"/>
      <c r="Y51" s="23"/>
      <c r="Z51" s="23"/>
      <c r="AA51" s="23"/>
      <c r="AB51" s="23"/>
      <c r="AC51" s="23"/>
      <c r="AD51" s="23"/>
      <c r="AE51" s="23"/>
      <c r="AF51" s="23"/>
    </row>
    <row r="52" spans="1:32" x14ac:dyDescent="0.25">
      <c r="A52" s="32">
        <v>49</v>
      </c>
      <c r="B52" s="39"/>
      <c r="C52" s="39"/>
      <c r="D52" s="39"/>
      <c r="E52" s="39"/>
      <c r="F52" s="39"/>
      <c r="G52" s="39"/>
      <c r="H52" s="39"/>
      <c r="I52" s="40"/>
      <c r="J52" s="39"/>
      <c r="K52" s="23"/>
      <c r="L52" s="23"/>
      <c r="M52" s="23"/>
      <c r="N52" s="23"/>
      <c r="O52" s="23"/>
      <c r="P52" s="23"/>
      <c r="Q52" s="23"/>
      <c r="R52" s="23"/>
      <c r="S52" s="23"/>
      <c r="T52" s="23"/>
      <c r="U52" s="23"/>
      <c r="V52" s="23"/>
      <c r="W52" s="23"/>
      <c r="X52" s="23"/>
      <c r="Y52" s="23"/>
      <c r="Z52" s="23"/>
      <c r="AA52" s="23"/>
      <c r="AB52" s="23"/>
      <c r="AC52" s="23"/>
      <c r="AD52" s="23"/>
      <c r="AE52" s="23"/>
      <c r="AF52" s="23"/>
    </row>
    <row r="53" spans="1:32" x14ac:dyDescent="0.25">
      <c r="A53" s="32">
        <v>50</v>
      </c>
      <c r="B53" s="39"/>
      <c r="C53" s="39"/>
      <c r="D53" s="39"/>
      <c r="E53" s="39"/>
      <c r="F53" s="39"/>
      <c r="G53" s="39"/>
      <c r="H53" s="39"/>
      <c r="I53" s="40"/>
      <c r="J53" s="39"/>
      <c r="K53" s="23"/>
      <c r="L53" s="23"/>
      <c r="M53" s="23"/>
      <c r="N53" s="23"/>
      <c r="O53" s="23"/>
      <c r="P53" s="23"/>
      <c r="Q53" s="23"/>
      <c r="R53" s="23"/>
      <c r="S53" s="23"/>
      <c r="T53" s="23"/>
      <c r="U53" s="23"/>
      <c r="V53" s="23"/>
      <c r="W53" s="23"/>
      <c r="X53" s="23"/>
      <c r="Y53" s="23"/>
      <c r="Z53" s="23"/>
      <c r="AA53" s="23"/>
      <c r="AB53" s="23"/>
      <c r="AC53" s="23"/>
      <c r="AD53" s="23"/>
      <c r="AE53" s="23"/>
      <c r="AF53" s="23"/>
    </row>
    <row r="54" spans="1:32" x14ac:dyDescent="0.25">
      <c r="A54" s="32">
        <v>51</v>
      </c>
      <c r="B54" s="39"/>
      <c r="C54" s="39"/>
      <c r="D54" s="39"/>
      <c r="E54" s="39"/>
      <c r="F54" s="39"/>
      <c r="G54" s="39"/>
      <c r="H54" s="39"/>
      <c r="I54" s="40"/>
      <c r="J54" s="39"/>
      <c r="K54" s="23"/>
      <c r="L54" s="23"/>
      <c r="M54" s="23"/>
      <c r="N54" s="23"/>
      <c r="O54" s="23"/>
      <c r="P54" s="23"/>
      <c r="Q54" s="23"/>
      <c r="R54" s="23"/>
      <c r="S54" s="23"/>
      <c r="T54" s="23"/>
      <c r="U54" s="23"/>
      <c r="V54" s="23"/>
      <c r="W54" s="23"/>
      <c r="X54" s="23"/>
      <c r="Y54" s="23"/>
      <c r="Z54" s="23"/>
      <c r="AA54" s="23"/>
      <c r="AB54" s="23"/>
      <c r="AC54" s="23"/>
      <c r="AD54" s="23"/>
      <c r="AE54" s="23"/>
      <c r="AF54" s="23"/>
    </row>
    <row r="55" spans="1:32" x14ac:dyDescent="0.25">
      <c r="A55" s="32">
        <v>52</v>
      </c>
      <c r="B55" s="39"/>
      <c r="C55" s="39"/>
      <c r="D55" s="39"/>
      <c r="E55" s="39"/>
      <c r="F55" s="39"/>
      <c r="G55" s="39"/>
      <c r="H55" s="39"/>
      <c r="I55" s="40"/>
      <c r="J55" s="39"/>
      <c r="K55" s="23"/>
      <c r="L55" s="23"/>
      <c r="M55" s="23"/>
      <c r="N55" s="23"/>
      <c r="O55" s="23"/>
      <c r="P55" s="23"/>
      <c r="Q55" s="23"/>
      <c r="R55" s="23"/>
      <c r="S55" s="23"/>
      <c r="T55" s="23"/>
      <c r="U55" s="23"/>
      <c r="V55" s="23"/>
      <c r="W55" s="23"/>
      <c r="X55" s="23"/>
      <c r="Y55" s="23"/>
      <c r="Z55" s="23"/>
      <c r="AA55" s="23"/>
      <c r="AB55" s="23"/>
      <c r="AC55" s="23"/>
      <c r="AD55" s="23"/>
      <c r="AE55" s="23"/>
      <c r="AF55" s="23"/>
    </row>
    <row r="56" spans="1:32" x14ac:dyDescent="0.25">
      <c r="A56" s="32">
        <v>53</v>
      </c>
      <c r="B56" s="39"/>
      <c r="C56" s="39"/>
      <c r="D56" s="39"/>
      <c r="E56" s="39"/>
      <c r="F56" s="39"/>
      <c r="G56" s="39"/>
      <c r="H56" s="39"/>
      <c r="I56" s="40"/>
      <c r="J56" s="39"/>
      <c r="K56" s="23"/>
      <c r="L56" s="23"/>
      <c r="M56" s="23"/>
      <c r="N56" s="23"/>
      <c r="O56" s="23"/>
      <c r="P56" s="23"/>
      <c r="Q56" s="23"/>
      <c r="R56" s="23"/>
      <c r="S56" s="23"/>
      <c r="T56" s="23"/>
      <c r="U56" s="23"/>
      <c r="V56" s="23"/>
      <c r="W56" s="23"/>
      <c r="X56" s="23"/>
      <c r="Y56" s="23"/>
      <c r="Z56" s="23"/>
      <c r="AA56" s="23"/>
      <c r="AB56" s="23"/>
      <c r="AC56" s="23"/>
      <c r="AD56" s="23"/>
      <c r="AE56" s="23"/>
      <c r="AF56" s="23"/>
    </row>
    <row r="57" spans="1:32" x14ac:dyDescent="0.25">
      <c r="A57" s="32">
        <v>54</v>
      </c>
      <c r="B57" s="39"/>
      <c r="C57" s="39"/>
      <c r="D57" s="39"/>
      <c r="E57" s="39"/>
      <c r="F57" s="39"/>
      <c r="G57" s="39"/>
      <c r="H57" s="39"/>
      <c r="I57" s="40"/>
      <c r="J57" s="39"/>
      <c r="K57" s="23"/>
      <c r="L57" s="23"/>
      <c r="M57" s="23"/>
      <c r="N57" s="23"/>
      <c r="O57" s="23"/>
      <c r="P57" s="23"/>
      <c r="Q57" s="23"/>
      <c r="R57" s="23"/>
      <c r="S57" s="23"/>
      <c r="T57" s="23"/>
      <c r="U57" s="23"/>
      <c r="V57" s="23"/>
      <c r="W57" s="23"/>
      <c r="X57" s="23"/>
      <c r="Y57" s="23"/>
      <c r="Z57" s="23"/>
      <c r="AA57" s="23"/>
      <c r="AB57" s="23"/>
      <c r="AC57" s="23"/>
      <c r="AD57" s="23"/>
      <c r="AE57" s="23"/>
      <c r="AF57" s="23"/>
    </row>
    <row r="58" spans="1:32" x14ac:dyDescent="0.25">
      <c r="A58" s="32">
        <v>55</v>
      </c>
      <c r="B58" s="39"/>
      <c r="C58" s="39"/>
      <c r="D58" s="39"/>
      <c r="E58" s="39"/>
      <c r="F58" s="39"/>
      <c r="G58" s="39"/>
      <c r="H58" s="39"/>
      <c r="I58" s="40"/>
      <c r="J58" s="39"/>
      <c r="K58" s="23"/>
      <c r="L58" s="23"/>
      <c r="M58" s="23"/>
      <c r="N58" s="23"/>
      <c r="O58" s="23"/>
      <c r="P58" s="23"/>
      <c r="Q58" s="23"/>
      <c r="R58" s="23"/>
      <c r="S58" s="23"/>
      <c r="T58" s="23"/>
      <c r="U58" s="23"/>
      <c r="V58" s="23"/>
      <c r="W58" s="23"/>
      <c r="X58" s="23"/>
      <c r="Y58" s="23"/>
      <c r="Z58" s="23"/>
      <c r="AA58" s="23"/>
      <c r="AB58" s="23"/>
      <c r="AC58" s="23"/>
      <c r="AD58" s="23"/>
      <c r="AE58" s="23"/>
      <c r="AF58" s="23"/>
    </row>
    <row r="59" spans="1:32" x14ac:dyDescent="0.25">
      <c r="A59" s="32">
        <v>56</v>
      </c>
      <c r="B59" s="39"/>
      <c r="C59" s="39"/>
      <c r="D59" s="39"/>
      <c r="E59" s="39"/>
      <c r="F59" s="39"/>
      <c r="G59" s="39"/>
      <c r="H59" s="39"/>
      <c r="I59" s="40"/>
      <c r="J59" s="39"/>
      <c r="K59" s="23"/>
      <c r="L59" s="23"/>
      <c r="M59" s="23"/>
      <c r="N59" s="23"/>
      <c r="O59" s="23"/>
      <c r="P59" s="23"/>
      <c r="Q59" s="23"/>
      <c r="R59" s="23"/>
      <c r="S59" s="23"/>
      <c r="T59" s="23"/>
      <c r="U59" s="23"/>
      <c r="V59" s="23"/>
      <c r="W59" s="23"/>
      <c r="X59" s="23"/>
      <c r="Y59" s="23"/>
      <c r="Z59" s="23"/>
      <c r="AA59" s="23"/>
      <c r="AB59" s="23"/>
      <c r="AC59" s="23"/>
      <c r="AD59" s="23"/>
      <c r="AE59" s="23"/>
      <c r="AF59" s="23"/>
    </row>
    <row r="60" spans="1:32" x14ac:dyDescent="0.25">
      <c r="A60" s="32">
        <v>57</v>
      </c>
      <c r="B60" s="39"/>
      <c r="C60" s="39"/>
      <c r="D60" s="39"/>
      <c r="E60" s="39"/>
      <c r="F60" s="39"/>
      <c r="G60" s="39"/>
      <c r="H60" s="39"/>
      <c r="I60" s="40"/>
      <c r="J60" s="39"/>
      <c r="K60" s="23"/>
      <c r="L60" s="23"/>
      <c r="M60" s="23"/>
      <c r="N60" s="23"/>
      <c r="O60" s="23"/>
      <c r="P60" s="23"/>
      <c r="Q60" s="23"/>
      <c r="R60" s="23"/>
      <c r="S60" s="23"/>
      <c r="T60" s="23"/>
      <c r="U60" s="23"/>
      <c r="V60" s="23"/>
      <c r="W60" s="23"/>
      <c r="X60" s="23"/>
      <c r="Y60" s="23"/>
      <c r="Z60" s="23"/>
      <c r="AA60" s="23"/>
      <c r="AB60" s="23"/>
      <c r="AC60" s="23"/>
      <c r="AD60" s="23"/>
      <c r="AE60" s="23"/>
      <c r="AF60" s="23"/>
    </row>
    <row r="61" spans="1:32" x14ac:dyDescent="0.25">
      <c r="A61" s="32">
        <v>58</v>
      </c>
      <c r="B61" s="39"/>
      <c r="C61" s="39"/>
      <c r="D61" s="39"/>
      <c r="E61" s="39"/>
      <c r="F61" s="39"/>
      <c r="G61" s="39"/>
      <c r="H61" s="39"/>
      <c r="I61" s="40"/>
      <c r="J61" s="39"/>
      <c r="K61" s="23"/>
      <c r="L61" s="23"/>
      <c r="M61" s="23"/>
      <c r="N61" s="23"/>
      <c r="O61" s="23"/>
      <c r="P61" s="23"/>
      <c r="Q61" s="23"/>
      <c r="R61" s="23"/>
      <c r="S61" s="23"/>
      <c r="T61" s="23"/>
      <c r="U61" s="23"/>
      <c r="V61" s="23"/>
      <c r="W61" s="23"/>
      <c r="X61" s="23"/>
      <c r="Y61" s="23"/>
      <c r="Z61" s="23"/>
      <c r="AA61" s="23"/>
      <c r="AB61" s="23"/>
      <c r="AC61" s="23"/>
      <c r="AD61" s="23"/>
      <c r="AE61" s="23"/>
      <c r="AF61" s="23"/>
    </row>
    <row r="62" spans="1:32" x14ac:dyDescent="0.25">
      <c r="A62" s="32">
        <v>59</v>
      </c>
      <c r="B62" s="39"/>
      <c r="C62" s="39"/>
      <c r="D62" s="39"/>
      <c r="E62" s="39"/>
      <c r="F62" s="39"/>
      <c r="G62" s="39"/>
      <c r="H62" s="39"/>
      <c r="I62" s="40"/>
      <c r="J62" s="39"/>
      <c r="K62" s="23"/>
      <c r="L62" s="23"/>
      <c r="M62" s="23"/>
      <c r="N62" s="23"/>
      <c r="O62" s="23"/>
      <c r="P62" s="23"/>
      <c r="Q62" s="23"/>
      <c r="R62" s="23"/>
      <c r="S62" s="23"/>
      <c r="T62" s="23"/>
      <c r="U62" s="23"/>
      <c r="V62" s="23"/>
      <c r="W62" s="23"/>
      <c r="X62" s="23"/>
      <c r="Y62" s="23"/>
      <c r="Z62" s="23"/>
      <c r="AA62" s="23"/>
      <c r="AB62" s="23"/>
      <c r="AC62" s="23"/>
      <c r="AD62" s="23"/>
      <c r="AE62" s="23"/>
      <c r="AF62" s="23"/>
    </row>
    <row r="63" spans="1:32" x14ac:dyDescent="0.25">
      <c r="A63" s="32">
        <v>60</v>
      </c>
      <c r="B63" s="39"/>
      <c r="C63" s="39"/>
      <c r="D63" s="39"/>
      <c r="E63" s="39"/>
      <c r="F63" s="39"/>
      <c r="G63" s="39"/>
      <c r="H63" s="39"/>
      <c r="I63" s="40"/>
      <c r="J63" s="39"/>
      <c r="K63" s="23"/>
      <c r="L63" s="23"/>
      <c r="M63" s="23"/>
      <c r="N63" s="23"/>
      <c r="O63" s="23"/>
      <c r="P63" s="23"/>
      <c r="Q63" s="23"/>
      <c r="R63" s="23"/>
      <c r="S63" s="23"/>
      <c r="T63" s="23"/>
      <c r="U63" s="23"/>
      <c r="V63" s="23"/>
      <c r="W63" s="23"/>
      <c r="X63" s="23"/>
      <c r="Y63" s="23"/>
      <c r="Z63" s="23"/>
      <c r="AA63" s="23"/>
      <c r="AB63" s="23"/>
      <c r="AC63" s="23"/>
      <c r="AD63" s="23"/>
      <c r="AE63" s="23"/>
      <c r="AF63" s="23"/>
    </row>
    <row r="64" spans="1:32" x14ac:dyDescent="0.25">
      <c r="A64" s="32">
        <v>61</v>
      </c>
      <c r="B64" s="39"/>
      <c r="C64" s="39"/>
      <c r="D64" s="39"/>
      <c r="E64" s="39"/>
      <c r="F64" s="39"/>
      <c r="G64" s="39"/>
      <c r="H64" s="39"/>
      <c r="I64" s="40"/>
      <c r="J64" s="39"/>
      <c r="K64" s="23"/>
      <c r="L64" s="23"/>
      <c r="M64" s="23"/>
      <c r="N64" s="23"/>
      <c r="O64" s="23"/>
      <c r="P64" s="23"/>
      <c r="Q64" s="23"/>
      <c r="R64" s="23"/>
      <c r="S64" s="23"/>
      <c r="T64" s="23"/>
      <c r="U64" s="23"/>
      <c r="V64" s="23"/>
      <c r="W64" s="23"/>
      <c r="X64" s="23"/>
      <c r="Y64" s="23"/>
      <c r="Z64" s="23"/>
      <c r="AA64" s="23"/>
      <c r="AB64" s="23"/>
      <c r="AC64" s="23"/>
      <c r="AD64" s="23"/>
      <c r="AE64" s="23"/>
      <c r="AF64" s="23"/>
    </row>
    <row r="65" spans="1:32" x14ac:dyDescent="0.25">
      <c r="A65" s="32">
        <v>62</v>
      </c>
      <c r="B65" s="39"/>
      <c r="C65" s="39"/>
      <c r="D65" s="39"/>
      <c r="E65" s="39"/>
      <c r="F65" s="39"/>
      <c r="G65" s="39"/>
      <c r="H65" s="39"/>
      <c r="I65" s="40"/>
      <c r="J65" s="39"/>
      <c r="K65" s="23"/>
      <c r="L65" s="23"/>
      <c r="M65" s="23"/>
      <c r="N65" s="23"/>
      <c r="O65" s="23"/>
      <c r="P65" s="23"/>
      <c r="Q65" s="23"/>
      <c r="R65" s="23"/>
      <c r="S65" s="23"/>
      <c r="T65" s="23"/>
      <c r="U65" s="23"/>
      <c r="V65" s="23"/>
      <c r="W65" s="23"/>
      <c r="X65" s="23"/>
      <c r="Y65" s="23"/>
      <c r="Z65" s="23"/>
      <c r="AA65" s="23"/>
      <c r="AB65" s="23"/>
      <c r="AC65" s="23"/>
      <c r="AD65" s="23"/>
      <c r="AE65" s="23"/>
      <c r="AF65" s="23"/>
    </row>
    <row r="66" spans="1:32" x14ac:dyDescent="0.25">
      <c r="A66" s="32">
        <v>63</v>
      </c>
      <c r="B66" s="39"/>
      <c r="C66" s="39"/>
      <c r="D66" s="39"/>
      <c r="E66" s="39"/>
      <c r="F66" s="39"/>
      <c r="G66" s="39"/>
      <c r="H66" s="39"/>
      <c r="I66" s="40"/>
      <c r="J66" s="39"/>
      <c r="K66" s="23"/>
      <c r="L66" s="23"/>
      <c r="M66" s="23"/>
      <c r="N66" s="23"/>
      <c r="O66" s="23"/>
      <c r="P66" s="23"/>
      <c r="Q66" s="23"/>
      <c r="R66" s="23"/>
      <c r="S66" s="23"/>
      <c r="T66" s="23"/>
      <c r="U66" s="23"/>
      <c r="V66" s="23"/>
      <c r="W66" s="23"/>
      <c r="X66" s="23"/>
      <c r="Y66" s="23"/>
      <c r="Z66" s="23"/>
      <c r="AA66" s="23"/>
      <c r="AB66" s="23"/>
      <c r="AC66" s="23"/>
      <c r="AD66" s="23"/>
      <c r="AE66" s="23"/>
      <c r="AF66" s="23"/>
    </row>
    <row r="67" spans="1:32" x14ac:dyDescent="0.25">
      <c r="A67" s="32">
        <v>64</v>
      </c>
      <c r="B67" s="39"/>
      <c r="C67" s="39"/>
      <c r="D67" s="39"/>
      <c r="E67" s="39"/>
      <c r="F67" s="39"/>
      <c r="G67" s="39"/>
      <c r="H67" s="39"/>
      <c r="I67" s="40"/>
      <c r="J67" s="39"/>
      <c r="K67" s="23"/>
      <c r="L67" s="23"/>
      <c r="M67" s="23"/>
      <c r="N67" s="23"/>
      <c r="O67" s="23"/>
      <c r="P67" s="23"/>
      <c r="Q67" s="23"/>
      <c r="R67" s="23"/>
      <c r="S67" s="23"/>
      <c r="T67" s="23"/>
      <c r="U67" s="23"/>
      <c r="V67" s="23"/>
      <c r="W67" s="23"/>
      <c r="X67" s="23"/>
      <c r="Y67" s="23"/>
      <c r="Z67" s="23"/>
      <c r="AA67" s="23"/>
      <c r="AB67" s="23"/>
      <c r="AC67" s="23"/>
      <c r="AD67" s="23"/>
      <c r="AE67" s="23"/>
      <c r="AF67" s="23"/>
    </row>
    <row r="68" spans="1:32" x14ac:dyDescent="0.25">
      <c r="A68" s="32">
        <v>65</v>
      </c>
      <c r="B68" s="39"/>
      <c r="C68" s="39"/>
      <c r="D68" s="39"/>
      <c r="E68" s="39"/>
      <c r="F68" s="39"/>
      <c r="G68" s="39"/>
      <c r="H68" s="39"/>
      <c r="I68" s="40"/>
      <c r="J68" s="39"/>
      <c r="K68" s="23"/>
      <c r="L68" s="23"/>
      <c r="M68" s="23"/>
      <c r="N68" s="23"/>
      <c r="O68" s="23"/>
      <c r="P68" s="23"/>
      <c r="Q68" s="23"/>
      <c r="R68" s="23"/>
      <c r="S68" s="23"/>
      <c r="T68" s="23"/>
      <c r="U68" s="23"/>
      <c r="V68" s="23"/>
      <c r="W68" s="23"/>
      <c r="X68" s="23"/>
      <c r="Y68" s="23"/>
      <c r="Z68" s="23"/>
      <c r="AA68" s="23"/>
      <c r="AB68" s="23"/>
      <c r="AC68" s="23"/>
      <c r="AD68" s="23"/>
      <c r="AE68" s="23"/>
      <c r="AF68" s="23"/>
    </row>
    <row r="69" spans="1:32" x14ac:dyDescent="0.25">
      <c r="A69" s="32">
        <v>66</v>
      </c>
      <c r="B69" s="39"/>
      <c r="C69" s="39"/>
      <c r="D69" s="39"/>
      <c r="E69" s="39"/>
      <c r="F69" s="39"/>
      <c r="G69" s="39"/>
      <c r="H69" s="39"/>
      <c r="I69" s="40"/>
      <c r="J69" s="39"/>
      <c r="K69" s="23"/>
      <c r="L69" s="23"/>
      <c r="M69" s="23"/>
      <c r="N69" s="23"/>
      <c r="O69" s="23"/>
      <c r="P69" s="23"/>
      <c r="Q69" s="23"/>
      <c r="R69" s="23"/>
      <c r="S69" s="23"/>
      <c r="T69" s="23"/>
      <c r="U69" s="23"/>
      <c r="V69" s="23"/>
      <c r="W69" s="23"/>
      <c r="X69" s="23"/>
      <c r="Y69" s="23"/>
      <c r="Z69" s="23"/>
      <c r="AA69" s="23"/>
      <c r="AB69" s="23"/>
      <c r="AC69" s="23"/>
      <c r="AD69" s="23"/>
      <c r="AE69" s="23"/>
      <c r="AF69" s="23"/>
    </row>
    <row r="70" spans="1:32" x14ac:dyDescent="0.25">
      <c r="A70" s="32">
        <v>67</v>
      </c>
      <c r="B70" s="39"/>
      <c r="C70" s="39"/>
      <c r="D70" s="39"/>
      <c r="E70" s="39"/>
      <c r="F70" s="39"/>
      <c r="G70" s="39"/>
      <c r="H70" s="39"/>
      <c r="I70" s="40"/>
      <c r="J70" s="39"/>
      <c r="K70" s="23"/>
      <c r="L70" s="23"/>
      <c r="M70" s="23"/>
      <c r="N70" s="23"/>
      <c r="O70" s="23"/>
      <c r="P70" s="23"/>
      <c r="Q70" s="23"/>
      <c r="R70" s="23"/>
      <c r="S70" s="23"/>
      <c r="T70" s="23"/>
      <c r="U70" s="23"/>
      <c r="V70" s="23"/>
      <c r="W70" s="23"/>
      <c r="X70" s="23"/>
      <c r="Y70" s="23"/>
      <c r="Z70" s="23"/>
      <c r="AA70" s="23"/>
      <c r="AB70" s="23"/>
      <c r="AC70" s="23"/>
      <c r="AD70" s="23"/>
      <c r="AE70" s="23"/>
      <c r="AF70" s="23"/>
    </row>
    <row r="71" spans="1:32" x14ac:dyDescent="0.25">
      <c r="A71" s="32">
        <v>68</v>
      </c>
      <c r="B71" s="39"/>
      <c r="C71" s="39"/>
      <c r="D71" s="39"/>
      <c r="E71" s="39"/>
      <c r="F71" s="39"/>
      <c r="G71" s="39"/>
      <c r="H71" s="39"/>
      <c r="I71" s="40"/>
      <c r="J71" s="39"/>
      <c r="K71" s="23"/>
      <c r="L71" s="23"/>
      <c r="M71" s="23"/>
      <c r="N71" s="23"/>
      <c r="O71" s="23"/>
      <c r="P71" s="23"/>
      <c r="Q71" s="23"/>
      <c r="R71" s="23"/>
      <c r="S71" s="23"/>
      <c r="T71" s="23"/>
      <c r="U71" s="23"/>
      <c r="V71" s="23"/>
      <c r="W71" s="23"/>
      <c r="X71" s="23"/>
      <c r="Y71" s="23"/>
      <c r="Z71" s="23"/>
      <c r="AA71" s="23"/>
      <c r="AB71" s="23"/>
      <c r="AC71" s="23"/>
      <c r="AD71" s="23"/>
      <c r="AE71" s="23"/>
      <c r="AF71" s="23"/>
    </row>
    <row r="72" spans="1:32" x14ac:dyDescent="0.25">
      <c r="A72" s="32">
        <v>69</v>
      </c>
      <c r="B72" s="39"/>
      <c r="C72" s="39"/>
      <c r="D72" s="39"/>
      <c r="E72" s="39"/>
      <c r="F72" s="39"/>
      <c r="G72" s="39"/>
      <c r="H72" s="39"/>
      <c r="I72" s="40"/>
      <c r="J72" s="39"/>
      <c r="K72" s="23"/>
      <c r="L72" s="23"/>
      <c r="M72" s="23"/>
      <c r="N72" s="23"/>
      <c r="O72" s="23"/>
      <c r="P72" s="23"/>
      <c r="Q72" s="23"/>
      <c r="R72" s="23"/>
      <c r="S72" s="23"/>
      <c r="T72" s="23"/>
      <c r="U72" s="23"/>
      <c r="V72" s="23"/>
      <c r="W72" s="23"/>
      <c r="X72" s="23"/>
      <c r="Y72" s="23"/>
      <c r="Z72" s="23"/>
      <c r="AA72" s="23"/>
      <c r="AB72" s="23"/>
      <c r="AC72" s="23"/>
      <c r="AD72" s="23"/>
      <c r="AE72" s="23"/>
      <c r="AF72" s="23"/>
    </row>
    <row r="73" spans="1:32" x14ac:dyDescent="0.25">
      <c r="A73" s="32">
        <v>70</v>
      </c>
      <c r="B73" s="39"/>
      <c r="C73" s="39"/>
      <c r="D73" s="39"/>
      <c r="E73" s="39"/>
      <c r="F73" s="39"/>
      <c r="G73" s="39"/>
      <c r="H73" s="39"/>
      <c r="I73" s="40"/>
      <c r="J73" s="39"/>
      <c r="K73" s="23"/>
      <c r="L73" s="23"/>
      <c r="M73" s="23"/>
      <c r="N73" s="23"/>
      <c r="O73" s="23"/>
      <c r="P73" s="23"/>
      <c r="Q73" s="23"/>
      <c r="R73" s="23"/>
      <c r="S73" s="23"/>
      <c r="T73" s="23"/>
      <c r="U73" s="23"/>
      <c r="V73" s="23"/>
      <c r="W73" s="23"/>
      <c r="X73" s="23"/>
      <c r="Y73" s="23"/>
      <c r="Z73" s="23"/>
      <c r="AA73" s="23"/>
      <c r="AB73" s="23"/>
      <c r="AC73" s="23"/>
      <c r="AD73" s="23"/>
      <c r="AE73" s="23"/>
      <c r="AF73" s="23"/>
    </row>
    <row r="74" spans="1:32" x14ac:dyDescent="0.25">
      <c r="A74" s="32">
        <v>71</v>
      </c>
      <c r="B74" s="39"/>
      <c r="C74" s="39"/>
      <c r="D74" s="39"/>
      <c r="E74" s="39"/>
      <c r="F74" s="39"/>
      <c r="G74" s="39"/>
      <c r="H74" s="39"/>
      <c r="I74" s="40"/>
      <c r="J74" s="39"/>
      <c r="K74" s="23"/>
      <c r="L74" s="23"/>
      <c r="M74" s="23"/>
      <c r="N74" s="23"/>
      <c r="O74" s="23"/>
      <c r="P74" s="23"/>
      <c r="Q74" s="23"/>
      <c r="R74" s="23"/>
      <c r="S74" s="23"/>
      <c r="T74" s="23"/>
      <c r="U74" s="23"/>
      <c r="V74" s="23"/>
      <c r="W74" s="23"/>
      <c r="X74" s="23"/>
      <c r="Y74" s="23"/>
      <c r="Z74" s="23"/>
      <c r="AA74" s="23"/>
      <c r="AB74" s="23"/>
      <c r="AC74" s="23"/>
      <c r="AD74" s="23"/>
      <c r="AE74" s="23"/>
      <c r="AF74" s="23"/>
    </row>
    <row r="75" spans="1:32" x14ac:dyDescent="0.25">
      <c r="A75" s="32">
        <v>72</v>
      </c>
      <c r="B75" s="39"/>
      <c r="C75" s="39"/>
      <c r="D75" s="39"/>
      <c r="E75" s="39"/>
      <c r="F75" s="39"/>
      <c r="G75" s="39"/>
      <c r="H75" s="39"/>
      <c r="I75" s="40"/>
      <c r="J75" s="39"/>
      <c r="K75" s="23"/>
      <c r="L75" s="23"/>
      <c r="M75" s="23"/>
      <c r="N75" s="23"/>
      <c r="O75" s="23"/>
      <c r="P75" s="23"/>
      <c r="Q75" s="23"/>
      <c r="R75" s="23"/>
      <c r="S75" s="23"/>
      <c r="T75" s="23"/>
      <c r="U75" s="23"/>
      <c r="V75" s="23"/>
      <c r="W75" s="23"/>
      <c r="X75" s="23"/>
      <c r="Y75" s="23"/>
      <c r="Z75" s="23"/>
      <c r="AA75" s="23"/>
      <c r="AB75" s="23"/>
      <c r="AC75" s="23"/>
      <c r="AD75" s="23"/>
      <c r="AE75" s="23"/>
      <c r="AF75" s="23"/>
    </row>
    <row r="76" spans="1:32" x14ac:dyDescent="0.25">
      <c r="A76" s="32">
        <v>73</v>
      </c>
      <c r="B76" s="39"/>
      <c r="C76" s="39"/>
      <c r="D76" s="39"/>
      <c r="E76" s="39"/>
      <c r="F76" s="39"/>
      <c r="G76" s="39"/>
      <c r="H76" s="39"/>
      <c r="I76" s="40"/>
      <c r="J76" s="39"/>
      <c r="K76" s="23"/>
      <c r="L76" s="23"/>
      <c r="M76" s="23"/>
      <c r="N76" s="23"/>
      <c r="O76" s="23"/>
      <c r="P76" s="23"/>
      <c r="Q76" s="23"/>
      <c r="R76" s="23"/>
      <c r="S76" s="23"/>
      <c r="T76" s="23"/>
      <c r="U76" s="23"/>
      <c r="V76" s="23"/>
      <c r="W76" s="23"/>
      <c r="X76" s="23"/>
      <c r="Y76" s="23"/>
      <c r="Z76" s="23"/>
      <c r="AA76" s="23"/>
      <c r="AB76" s="23"/>
      <c r="AC76" s="23"/>
      <c r="AD76" s="23"/>
      <c r="AE76" s="23"/>
      <c r="AF76" s="23"/>
    </row>
    <row r="77" spans="1:32" x14ac:dyDescent="0.25">
      <c r="A77" s="32">
        <v>74</v>
      </c>
      <c r="B77" s="39"/>
      <c r="C77" s="39"/>
      <c r="D77" s="39"/>
      <c r="E77" s="39"/>
      <c r="F77" s="39"/>
      <c r="G77" s="39"/>
      <c r="H77" s="39"/>
      <c r="I77" s="40"/>
      <c r="J77" s="39"/>
      <c r="K77" s="23"/>
      <c r="L77" s="23"/>
      <c r="M77" s="23"/>
      <c r="N77" s="23"/>
      <c r="O77" s="23"/>
      <c r="P77" s="23"/>
      <c r="Q77" s="23"/>
      <c r="R77" s="23"/>
      <c r="S77" s="23"/>
      <c r="T77" s="23"/>
      <c r="U77" s="23"/>
      <c r="V77" s="23"/>
      <c r="W77" s="23"/>
      <c r="X77" s="23"/>
      <c r="Y77" s="23"/>
      <c r="Z77" s="23"/>
      <c r="AA77" s="23"/>
      <c r="AB77" s="23"/>
      <c r="AC77" s="23"/>
      <c r="AD77" s="23"/>
      <c r="AE77" s="23"/>
      <c r="AF77" s="23"/>
    </row>
    <row r="78" spans="1:32" x14ac:dyDescent="0.25">
      <c r="A78" s="32">
        <v>75</v>
      </c>
      <c r="B78" s="39"/>
      <c r="C78" s="39"/>
      <c r="D78" s="39"/>
      <c r="E78" s="39"/>
      <c r="F78" s="39"/>
      <c r="G78" s="39"/>
      <c r="H78" s="39"/>
      <c r="I78" s="40"/>
      <c r="J78" s="39"/>
      <c r="K78" s="23"/>
      <c r="L78" s="23"/>
      <c r="M78" s="23"/>
      <c r="N78" s="23"/>
      <c r="O78" s="23"/>
      <c r="P78" s="23"/>
      <c r="Q78" s="23"/>
      <c r="R78" s="23"/>
      <c r="S78" s="23"/>
      <c r="T78" s="23"/>
      <c r="U78" s="23"/>
      <c r="V78" s="23"/>
      <c r="W78" s="23"/>
      <c r="X78" s="23"/>
      <c r="Y78" s="23"/>
      <c r="Z78" s="23"/>
      <c r="AA78" s="23"/>
      <c r="AB78" s="23"/>
      <c r="AC78" s="23"/>
      <c r="AD78" s="23"/>
      <c r="AE78" s="23"/>
      <c r="AF78" s="23"/>
    </row>
    <row r="79" spans="1:32" x14ac:dyDescent="0.25">
      <c r="A79" s="32">
        <v>76</v>
      </c>
      <c r="B79" s="39"/>
      <c r="C79" s="39"/>
      <c r="D79" s="39"/>
      <c r="E79" s="39"/>
      <c r="F79" s="39"/>
      <c r="G79" s="39"/>
      <c r="H79" s="39"/>
      <c r="I79" s="40"/>
      <c r="J79" s="39"/>
      <c r="K79" s="23"/>
      <c r="L79" s="23"/>
      <c r="M79" s="23"/>
      <c r="N79" s="23"/>
      <c r="O79" s="23"/>
      <c r="P79" s="23"/>
      <c r="Q79" s="23"/>
      <c r="R79" s="23"/>
      <c r="S79" s="23"/>
      <c r="T79" s="23"/>
      <c r="U79" s="23"/>
      <c r="V79" s="23"/>
      <c r="W79" s="23"/>
      <c r="X79" s="23"/>
      <c r="Y79" s="23"/>
      <c r="Z79" s="23"/>
      <c r="AA79" s="23"/>
      <c r="AB79" s="23"/>
      <c r="AC79" s="23"/>
      <c r="AD79" s="23"/>
      <c r="AE79" s="23"/>
      <c r="AF79" s="23"/>
    </row>
    <row r="80" spans="1:32" x14ac:dyDescent="0.25">
      <c r="A80" s="32">
        <v>77</v>
      </c>
      <c r="B80" s="39"/>
      <c r="C80" s="39"/>
      <c r="D80" s="39"/>
      <c r="E80" s="39"/>
      <c r="F80" s="39"/>
      <c r="G80" s="39"/>
      <c r="H80" s="39"/>
      <c r="I80" s="40"/>
      <c r="J80" s="39"/>
      <c r="K80" s="23"/>
      <c r="L80" s="23"/>
      <c r="M80" s="23"/>
      <c r="N80" s="23"/>
      <c r="O80" s="23"/>
      <c r="P80" s="23"/>
      <c r="Q80" s="23"/>
      <c r="R80" s="23"/>
      <c r="S80" s="23"/>
      <c r="T80" s="23"/>
      <c r="U80" s="23"/>
      <c r="V80" s="23"/>
      <c r="W80" s="23"/>
      <c r="X80" s="23"/>
      <c r="Y80" s="23"/>
      <c r="Z80" s="23"/>
      <c r="AA80" s="23"/>
      <c r="AB80" s="23"/>
      <c r="AC80" s="23"/>
      <c r="AD80" s="23"/>
      <c r="AE80" s="23"/>
      <c r="AF80" s="23"/>
    </row>
    <row r="81" spans="1:32" x14ac:dyDescent="0.25">
      <c r="A81" s="32">
        <v>78</v>
      </c>
      <c r="B81" s="39"/>
      <c r="C81" s="39"/>
      <c r="D81" s="39"/>
      <c r="E81" s="39"/>
      <c r="F81" s="39"/>
      <c r="G81" s="39"/>
      <c r="H81" s="39"/>
      <c r="I81" s="40"/>
      <c r="J81" s="39"/>
      <c r="K81" s="23"/>
      <c r="L81" s="23"/>
      <c r="M81" s="23"/>
      <c r="N81" s="23"/>
      <c r="O81" s="23"/>
      <c r="P81" s="23"/>
      <c r="Q81" s="23"/>
      <c r="R81" s="23"/>
      <c r="S81" s="23"/>
      <c r="T81" s="23"/>
      <c r="U81" s="23"/>
      <c r="V81" s="23"/>
      <c r="W81" s="23"/>
      <c r="X81" s="23"/>
      <c r="Y81" s="23"/>
      <c r="Z81" s="23"/>
      <c r="AA81" s="23"/>
      <c r="AB81" s="23"/>
      <c r="AC81" s="23"/>
      <c r="AD81" s="23"/>
      <c r="AE81" s="23"/>
      <c r="AF81" s="23"/>
    </row>
    <row r="82" spans="1:32" x14ac:dyDescent="0.25">
      <c r="A82" s="32">
        <v>79</v>
      </c>
      <c r="B82" s="39"/>
      <c r="C82" s="39"/>
      <c r="D82" s="39"/>
      <c r="E82" s="39"/>
      <c r="F82" s="39"/>
      <c r="G82" s="39"/>
      <c r="H82" s="39"/>
      <c r="I82" s="40"/>
      <c r="J82" s="39"/>
      <c r="K82" s="23"/>
      <c r="L82" s="23"/>
      <c r="M82" s="23"/>
      <c r="N82" s="23"/>
      <c r="O82" s="23"/>
      <c r="P82" s="23"/>
      <c r="Q82" s="23"/>
      <c r="R82" s="23"/>
      <c r="S82" s="23"/>
      <c r="T82" s="23"/>
      <c r="U82" s="23"/>
      <c r="V82" s="23"/>
      <c r="W82" s="23"/>
      <c r="X82" s="23"/>
      <c r="Y82" s="23"/>
      <c r="Z82" s="23"/>
      <c r="AA82" s="23"/>
      <c r="AB82" s="23"/>
      <c r="AC82" s="23"/>
      <c r="AD82" s="23"/>
      <c r="AE82" s="23"/>
      <c r="AF82" s="23"/>
    </row>
    <row r="83" spans="1:32" x14ac:dyDescent="0.25">
      <c r="A83" s="32">
        <v>80</v>
      </c>
      <c r="B83" s="39"/>
      <c r="C83" s="39"/>
      <c r="D83" s="39"/>
      <c r="E83" s="39"/>
      <c r="F83" s="39"/>
      <c r="G83" s="39"/>
      <c r="H83" s="39"/>
      <c r="I83" s="40"/>
      <c r="J83" s="39"/>
      <c r="K83" s="23"/>
      <c r="L83" s="23"/>
      <c r="M83" s="23"/>
      <c r="N83" s="23"/>
      <c r="O83" s="23"/>
      <c r="P83" s="23"/>
      <c r="Q83" s="23"/>
      <c r="R83" s="23"/>
      <c r="S83" s="23"/>
      <c r="T83" s="23"/>
      <c r="U83" s="23"/>
      <c r="V83" s="23"/>
      <c r="W83" s="23"/>
      <c r="X83" s="23"/>
      <c r="Y83" s="23"/>
      <c r="Z83" s="23"/>
      <c r="AA83" s="23"/>
      <c r="AB83" s="23"/>
      <c r="AC83" s="23"/>
      <c r="AD83" s="23"/>
      <c r="AE83" s="23"/>
      <c r="AF83" s="23"/>
    </row>
    <row r="84" spans="1:32" x14ac:dyDescent="0.25">
      <c r="A84" s="32">
        <v>81</v>
      </c>
      <c r="B84" s="39"/>
      <c r="C84" s="39"/>
      <c r="D84" s="39"/>
      <c r="E84" s="39"/>
      <c r="F84" s="39"/>
      <c r="G84" s="39"/>
      <c r="H84" s="39"/>
      <c r="I84" s="40"/>
      <c r="J84" s="39"/>
      <c r="K84" s="23"/>
      <c r="L84" s="23"/>
      <c r="M84" s="23"/>
      <c r="N84" s="23"/>
      <c r="O84" s="23"/>
      <c r="P84" s="23"/>
      <c r="Q84" s="23"/>
      <c r="R84" s="23"/>
      <c r="S84" s="23"/>
      <c r="T84" s="23"/>
      <c r="U84" s="23"/>
      <c r="V84" s="23"/>
      <c r="W84" s="23"/>
      <c r="X84" s="23"/>
      <c r="Y84" s="23"/>
      <c r="Z84" s="23"/>
      <c r="AA84" s="23"/>
      <c r="AB84" s="23"/>
      <c r="AC84" s="23"/>
      <c r="AD84" s="23"/>
      <c r="AE84" s="23"/>
      <c r="AF84" s="23"/>
    </row>
    <row r="85" spans="1:32" x14ac:dyDescent="0.25">
      <c r="A85" s="32">
        <v>82</v>
      </c>
      <c r="B85" s="39"/>
      <c r="C85" s="39"/>
      <c r="D85" s="39"/>
      <c r="E85" s="39"/>
      <c r="F85" s="39"/>
      <c r="G85" s="39"/>
      <c r="H85" s="39"/>
      <c r="I85" s="40"/>
      <c r="J85" s="39"/>
      <c r="K85" s="23"/>
      <c r="L85" s="23"/>
      <c r="M85" s="23"/>
      <c r="N85" s="23"/>
      <c r="O85" s="23"/>
      <c r="P85" s="23"/>
      <c r="Q85" s="23"/>
      <c r="R85" s="23"/>
      <c r="S85" s="23"/>
      <c r="T85" s="23"/>
      <c r="U85" s="23"/>
      <c r="V85" s="23"/>
      <c r="W85" s="23"/>
      <c r="X85" s="23"/>
      <c r="Y85" s="23"/>
      <c r="Z85" s="23"/>
      <c r="AA85" s="23"/>
      <c r="AB85" s="23"/>
      <c r="AC85" s="23"/>
      <c r="AD85" s="23"/>
      <c r="AE85" s="23"/>
      <c r="AF85" s="23"/>
    </row>
    <row r="86" spans="1:32" x14ac:dyDescent="0.25">
      <c r="A86" s="32">
        <v>83</v>
      </c>
      <c r="B86" s="39"/>
      <c r="C86" s="39"/>
      <c r="D86" s="39"/>
      <c r="E86" s="39"/>
      <c r="F86" s="39"/>
      <c r="G86" s="39"/>
      <c r="H86" s="39"/>
      <c r="I86" s="40"/>
      <c r="J86" s="39"/>
      <c r="K86" s="23"/>
      <c r="L86" s="23"/>
      <c r="M86" s="23"/>
      <c r="N86" s="23"/>
      <c r="O86" s="23"/>
      <c r="P86" s="23"/>
      <c r="Q86" s="23"/>
      <c r="R86" s="23"/>
      <c r="S86" s="23"/>
      <c r="T86" s="23"/>
      <c r="U86" s="23"/>
      <c r="V86" s="23"/>
      <c r="W86" s="23"/>
      <c r="X86" s="23"/>
      <c r="Y86" s="23"/>
      <c r="Z86" s="23"/>
      <c r="AA86" s="23"/>
      <c r="AB86" s="23"/>
      <c r="AC86" s="23"/>
      <c r="AD86" s="23"/>
      <c r="AE86" s="23"/>
      <c r="AF86" s="23"/>
    </row>
    <row r="87" spans="1:32" x14ac:dyDescent="0.25">
      <c r="A87" s="32">
        <v>84</v>
      </c>
      <c r="B87" s="39"/>
      <c r="C87" s="39"/>
      <c r="D87" s="39"/>
      <c r="E87" s="39"/>
      <c r="F87" s="39"/>
      <c r="G87" s="39"/>
      <c r="H87" s="39"/>
      <c r="I87" s="40"/>
      <c r="J87" s="39"/>
      <c r="K87" s="23"/>
      <c r="L87" s="23"/>
      <c r="M87" s="23"/>
      <c r="N87" s="23"/>
      <c r="O87" s="23"/>
      <c r="P87" s="23"/>
      <c r="Q87" s="23"/>
      <c r="R87" s="23"/>
      <c r="S87" s="23"/>
      <c r="T87" s="23"/>
      <c r="U87" s="23"/>
      <c r="V87" s="23"/>
      <c r="W87" s="23"/>
      <c r="X87" s="23"/>
      <c r="Y87" s="23"/>
      <c r="Z87" s="23"/>
      <c r="AA87" s="23"/>
      <c r="AB87" s="23"/>
      <c r="AC87" s="23"/>
      <c r="AD87" s="23"/>
      <c r="AE87" s="23"/>
      <c r="AF87" s="23"/>
    </row>
    <row r="88" spans="1:32" x14ac:dyDescent="0.25">
      <c r="A88" s="32">
        <v>85</v>
      </c>
      <c r="B88" s="39"/>
      <c r="C88" s="39"/>
      <c r="D88" s="39"/>
      <c r="E88" s="39"/>
      <c r="F88" s="39"/>
      <c r="G88" s="39"/>
      <c r="H88" s="39"/>
      <c r="I88" s="40"/>
      <c r="J88" s="39"/>
      <c r="K88" s="23"/>
      <c r="L88" s="23"/>
      <c r="M88" s="23"/>
      <c r="N88" s="23"/>
      <c r="O88" s="23"/>
      <c r="P88" s="23"/>
      <c r="Q88" s="23"/>
      <c r="R88" s="23"/>
      <c r="S88" s="23"/>
      <c r="T88" s="23"/>
      <c r="U88" s="23"/>
      <c r="V88" s="23"/>
      <c r="W88" s="23"/>
      <c r="X88" s="23"/>
      <c r="Y88" s="23"/>
      <c r="Z88" s="23"/>
      <c r="AA88" s="23"/>
      <c r="AB88" s="23"/>
      <c r="AC88" s="23"/>
      <c r="AD88" s="23"/>
      <c r="AE88" s="23"/>
      <c r="AF88" s="23"/>
    </row>
    <row r="89" spans="1:32" x14ac:dyDescent="0.25">
      <c r="A89" s="32">
        <v>86</v>
      </c>
      <c r="B89" s="39"/>
      <c r="C89" s="39"/>
      <c r="D89" s="39"/>
      <c r="E89" s="39"/>
      <c r="F89" s="39"/>
      <c r="G89" s="39"/>
      <c r="H89" s="39"/>
      <c r="I89" s="40"/>
      <c r="J89" s="39"/>
      <c r="K89" s="23"/>
      <c r="L89" s="23"/>
      <c r="M89" s="23"/>
      <c r="N89" s="23"/>
      <c r="O89" s="23"/>
      <c r="P89" s="23"/>
      <c r="Q89" s="23"/>
      <c r="R89" s="23"/>
      <c r="S89" s="23"/>
      <c r="T89" s="23"/>
      <c r="U89" s="23"/>
      <c r="V89" s="23"/>
      <c r="W89" s="23"/>
      <c r="X89" s="23"/>
      <c r="Y89" s="23"/>
      <c r="Z89" s="23"/>
      <c r="AA89" s="23"/>
      <c r="AB89" s="23"/>
      <c r="AC89" s="23"/>
      <c r="AD89" s="23"/>
      <c r="AE89" s="23"/>
      <c r="AF89" s="23"/>
    </row>
    <row r="90" spans="1:32" x14ac:dyDescent="0.25">
      <c r="A90" s="32">
        <v>87</v>
      </c>
      <c r="B90" s="39"/>
      <c r="C90" s="39"/>
      <c r="D90" s="39"/>
      <c r="E90" s="39"/>
      <c r="F90" s="39"/>
      <c r="G90" s="39"/>
      <c r="H90" s="39"/>
      <c r="I90" s="40"/>
      <c r="J90" s="39"/>
      <c r="K90" s="23"/>
      <c r="L90" s="23"/>
      <c r="M90" s="23"/>
      <c r="N90" s="23"/>
      <c r="O90" s="23"/>
      <c r="P90" s="23"/>
      <c r="Q90" s="23"/>
      <c r="R90" s="23"/>
      <c r="S90" s="23"/>
      <c r="T90" s="23"/>
      <c r="U90" s="23"/>
      <c r="V90" s="23"/>
      <c r="W90" s="23"/>
      <c r="X90" s="23"/>
      <c r="Y90" s="23"/>
      <c r="Z90" s="23"/>
      <c r="AA90" s="23"/>
      <c r="AB90" s="23"/>
      <c r="AC90" s="23"/>
      <c r="AD90" s="23"/>
      <c r="AE90" s="23"/>
      <c r="AF90" s="23"/>
    </row>
    <row r="91" spans="1:32" x14ac:dyDescent="0.25">
      <c r="A91" s="32">
        <v>88</v>
      </c>
      <c r="B91" s="39"/>
      <c r="C91" s="39"/>
      <c r="D91" s="39"/>
      <c r="E91" s="39"/>
      <c r="F91" s="39"/>
      <c r="G91" s="39"/>
      <c r="H91" s="39"/>
      <c r="I91" s="40"/>
      <c r="J91" s="39"/>
      <c r="K91" s="23"/>
      <c r="L91" s="23"/>
      <c r="M91" s="23"/>
      <c r="N91" s="23"/>
      <c r="O91" s="23"/>
      <c r="P91" s="23"/>
      <c r="Q91" s="23"/>
      <c r="R91" s="23"/>
      <c r="S91" s="23"/>
      <c r="T91" s="23"/>
      <c r="U91" s="23"/>
      <c r="V91" s="23"/>
      <c r="W91" s="23"/>
      <c r="X91" s="23"/>
      <c r="Y91" s="23"/>
      <c r="Z91" s="23"/>
      <c r="AA91" s="23"/>
      <c r="AB91" s="23"/>
      <c r="AC91" s="23"/>
      <c r="AD91" s="23"/>
      <c r="AE91" s="23"/>
      <c r="AF91" s="23"/>
    </row>
    <row r="92" spans="1:32" x14ac:dyDescent="0.25">
      <c r="A92" s="32">
        <v>89</v>
      </c>
      <c r="B92" s="39"/>
      <c r="C92" s="39"/>
      <c r="D92" s="39"/>
      <c r="E92" s="39"/>
      <c r="F92" s="39"/>
      <c r="G92" s="39"/>
      <c r="H92" s="39"/>
      <c r="I92" s="40"/>
      <c r="J92" s="39"/>
      <c r="K92" s="23"/>
      <c r="L92" s="23"/>
      <c r="M92" s="23"/>
      <c r="N92" s="23"/>
      <c r="O92" s="23"/>
      <c r="P92" s="23"/>
      <c r="Q92" s="23"/>
      <c r="R92" s="23"/>
      <c r="S92" s="23"/>
      <c r="T92" s="23"/>
      <c r="U92" s="23"/>
      <c r="V92" s="23"/>
      <c r="W92" s="23"/>
      <c r="X92" s="23"/>
      <c r="Y92" s="23"/>
      <c r="Z92" s="23"/>
      <c r="AA92" s="23"/>
      <c r="AB92" s="23"/>
      <c r="AC92" s="23"/>
      <c r="AD92" s="23"/>
      <c r="AE92" s="23"/>
      <c r="AF92" s="23"/>
    </row>
    <row r="93" spans="1:32" x14ac:dyDescent="0.25">
      <c r="A93" s="32">
        <v>90</v>
      </c>
      <c r="B93" s="39"/>
      <c r="C93" s="39"/>
      <c r="D93" s="39"/>
      <c r="E93" s="39"/>
      <c r="F93" s="39"/>
      <c r="G93" s="39"/>
      <c r="H93" s="39"/>
      <c r="I93" s="40"/>
      <c r="J93" s="39"/>
      <c r="K93" s="23"/>
      <c r="L93" s="23"/>
      <c r="M93" s="23"/>
      <c r="N93" s="23"/>
      <c r="O93" s="23"/>
      <c r="P93" s="23"/>
      <c r="Q93" s="23"/>
      <c r="R93" s="23"/>
      <c r="S93" s="23"/>
      <c r="T93" s="23"/>
      <c r="U93" s="23"/>
      <c r="V93" s="23"/>
      <c r="W93" s="23"/>
      <c r="X93" s="23"/>
      <c r="Y93" s="23"/>
      <c r="Z93" s="23"/>
      <c r="AA93" s="23"/>
      <c r="AB93" s="23"/>
      <c r="AC93" s="23"/>
      <c r="AD93" s="23"/>
      <c r="AE93" s="23"/>
      <c r="AF93" s="23"/>
    </row>
    <row r="94" spans="1:32" x14ac:dyDescent="0.25">
      <c r="A94" s="32">
        <v>91</v>
      </c>
      <c r="B94" s="39"/>
      <c r="C94" s="39"/>
      <c r="D94" s="39"/>
      <c r="E94" s="39"/>
      <c r="F94" s="39"/>
      <c r="G94" s="39"/>
      <c r="H94" s="39"/>
      <c r="I94" s="40"/>
      <c r="J94" s="39"/>
      <c r="K94" s="23"/>
      <c r="L94" s="23"/>
      <c r="M94" s="23"/>
      <c r="N94" s="23"/>
      <c r="O94" s="23"/>
      <c r="P94" s="23"/>
      <c r="Q94" s="23"/>
      <c r="R94" s="23"/>
      <c r="S94" s="23"/>
      <c r="T94" s="23"/>
      <c r="U94" s="23"/>
      <c r="V94" s="23"/>
      <c r="W94" s="23"/>
      <c r="X94" s="23"/>
      <c r="Y94" s="23"/>
      <c r="Z94" s="23"/>
      <c r="AA94" s="23"/>
      <c r="AB94" s="23"/>
      <c r="AC94" s="23"/>
      <c r="AD94" s="23"/>
      <c r="AE94" s="23"/>
      <c r="AF94" s="23"/>
    </row>
    <row r="95" spans="1:32" x14ac:dyDescent="0.25">
      <c r="A95" s="32">
        <v>92</v>
      </c>
      <c r="B95" s="39"/>
      <c r="C95" s="39"/>
      <c r="D95" s="39"/>
      <c r="E95" s="39"/>
      <c r="F95" s="39"/>
      <c r="G95" s="39"/>
      <c r="H95" s="39"/>
      <c r="I95" s="40"/>
      <c r="J95" s="39"/>
      <c r="K95" s="23"/>
      <c r="L95" s="23"/>
      <c r="M95" s="23"/>
      <c r="N95" s="23"/>
      <c r="O95" s="23"/>
      <c r="P95" s="23"/>
      <c r="Q95" s="23"/>
      <c r="R95" s="23"/>
      <c r="S95" s="23"/>
      <c r="T95" s="23"/>
      <c r="U95" s="23"/>
      <c r="V95" s="23"/>
      <c r="W95" s="23"/>
      <c r="X95" s="23"/>
      <c r="Y95" s="23"/>
      <c r="Z95" s="23"/>
      <c r="AA95" s="23"/>
      <c r="AB95" s="23"/>
      <c r="AC95" s="23"/>
      <c r="AD95" s="23"/>
      <c r="AE95" s="23"/>
      <c r="AF95" s="23"/>
    </row>
    <row r="96" spans="1:32" x14ac:dyDescent="0.25">
      <c r="A96" s="32">
        <v>93</v>
      </c>
      <c r="B96" s="39"/>
      <c r="C96" s="39"/>
      <c r="D96" s="39"/>
      <c r="E96" s="39"/>
      <c r="F96" s="39"/>
      <c r="G96" s="39"/>
      <c r="H96" s="39"/>
      <c r="I96" s="40"/>
      <c r="J96" s="39"/>
      <c r="K96" s="23"/>
      <c r="L96" s="23"/>
      <c r="M96" s="23"/>
      <c r="N96" s="23"/>
      <c r="O96" s="23"/>
      <c r="P96" s="23"/>
      <c r="Q96" s="23"/>
      <c r="R96" s="23"/>
      <c r="S96" s="23"/>
      <c r="T96" s="23"/>
      <c r="U96" s="23"/>
      <c r="V96" s="23"/>
      <c r="W96" s="23"/>
      <c r="X96" s="23"/>
      <c r="Y96" s="23"/>
      <c r="Z96" s="23"/>
      <c r="AA96" s="23"/>
      <c r="AB96" s="23"/>
      <c r="AC96" s="23"/>
      <c r="AD96" s="23"/>
      <c r="AE96" s="23"/>
      <c r="AF96" s="23"/>
    </row>
    <row r="97" spans="1:32" x14ac:dyDescent="0.25">
      <c r="A97" s="32">
        <v>94</v>
      </c>
      <c r="B97" s="39"/>
      <c r="C97" s="39"/>
      <c r="D97" s="39"/>
      <c r="E97" s="39"/>
      <c r="F97" s="39"/>
      <c r="G97" s="39"/>
      <c r="H97" s="39"/>
      <c r="I97" s="40"/>
      <c r="J97" s="39"/>
      <c r="K97" s="23"/>
      <c r="L97" s="23"/>
      <c r="M97" s="23"/>
      <c r="N97" s="23"/>
      <c r="O97" s="23"/>
      <c r="P97" s="23"/>
      <c r="Q97" s="23"/>
      <c r="R97" s="23"/>
      <c r="S97" s="23"/>
      <c r="T97" s="23"/>
      <c r="U97" s="23"/>
      <c r="V97" s="23"/>
      <c r="W97" s="23"/>
      <c r="X97" s="23"/>
      <c r="Y97" s="23"/>
      <c r="Z97" s="23"/>
      <c r="AA97" s="23"/>
      <c r="AB97" s="23"/>
      <c r="AC97" s="23"/>
      <c r="AD97" s="23"/>
      <c r="AE97" s="23"/>
      <c r="AF97" s="23"/>
    </row>
    <row r="98" spans="1:32" x14ac:dyDescent="0.25">
      <c r="A98" s="32">
        <v>95</v>
      </c>
      <c r="B98" s="39"/>
      <c r="C98" s="39"/>
      <c r="D98" s="39"/>
      <c r="E98" s="39"/>
      <c r="F98" s="39"/>
      <c r="G98" s="39"/>
      <c r="H98" s="39"/>
      <c r="I98" s="40"/>
      <c r="J98" s="39"/>
      <c r="K98" s="23"/>
      <c r="L98" s="23"/>
      <c r="M98" s="23"/>
      <c r="N98" s="23"/>
      <c r="O98" s="23"/>
      <c r="P98" s="23"/>
      <c r="Q98" s="23"/>
      <c r="R98" s="23"/>
      <c r="S98" s="23"/>
      <c r="T98" s="23"/>
      <c r="U98" s="23"/>
      <c r="V98" s="23"/>
      <c r="W98" s="23"/>
      <c r="X98" s="23"/>
      <c r="Y98" s="23"/>
      <c r="Z98" s="23"/>
      <c r="AA98" s="23"/>
      <c r="AB98" s="23"/>
      <c r="AC98" s="23"/>
      <c r="AD98" s="23"/>
      <c r="AE98" s="23"/>
      <c r="AF98" s="23"/>
    </row>
    <row r="99" spans="1:32" x14ac:dyDescent="0.25">
      <c r="A99" s="32">
        <v>96</v>
      </c>
      <c r="B99" s="39"/>
      <c r="C99" s="39"/>
      <c r="D99" s="39"/>
      <c r="E99" s="39"/>
      <c r="F99" s="39"/>
      <c r="G99" s="39"/>
      <c r="H99" s="39"/>
      <c r="I99" s="40"/>
      <c r="J99" s="39"/>
      <c r="K99" s="23"/>
      <c r="L99" s="23"/>
      <c r="M99" s="23"/>
      <c r="N99" s="23"/>
      <c r="O99" s="23"/>
      <c r="P99" s="23"/>
      <c r="Q99" s="23"/>
      <c r="R99" s="23"/>
      <c r="S99" s="23"/>
      <c r="T99" s="23"/>
      <c r="U99" s="23"/>
      <c r="V99" s="23"/>
      <c r="W99" s="23"/>
      <c r="X99" s="23"/>
      <c r="Y99" s="23"/>
      <c r="Z99" s="23"/>
      <c r="AA99" s="23"/>
      <c r="AB99" s="23"/>
      <c r="AC99" s="23"/>
      <c r="AD99" s="23"/>
      <c r="AE99" s="23"/>
      <c r="AF99" s="23"/>
    </row>
    <row r="100" spans="1:32" x14ac:dyDescent="0.25">
      <c r="A100" s="32">
        <v>97</v>
      </c>
      <c r="B100" s="39"/>
      <c r="C100" s="39"/>
      <c r="D100" s="39"/>
      <c r="E100" s="39"/>
      <c r="F100" s="39"/>
      <c r="G100" s="39"/>
      <c r="H100" s="39"/>
      <c r="I100" s="40"/>
      <c r="J100" s="39"/>
      <c r="K100" s="23"/>
      <c r="L100" s="23"/>
      <c r="M100" s="23"/>
      <c r="N100" s="23"/>
      <c r="O100" s="23"/>
      <c r="P100" s="23"/>
      <c r="Q100" s="23"/>
      <c r="R100" s="23"/>
      <c r="S100" s="23"/>
      <c r="T100" s="23"/>
      <c r="U100" s="23"/>
      <c r="V100" s="23"/>
      <c r="W100" s="23"/>
      <c r="X100" s="23"/>
      <c r="Y100" s="23"/>
      <c r="Z100" s="23"/>
      <c r="AA100" s="23"/>
      <c r="AB100" s="23"/>
      <c r="AC100" s="23"/>
      <c r="AD100" s="23"/>
      <c r="AE100" s="23"/>
      <c r="AF100" s="23"/>
    </row>
    <row r="101" spans="1:32" x14ac:dyDescent="0.25">
      <c r="A101" s="32">
        <v>98</v>
      </c>
      <c r="B101" s="39"/>
      <c r="C101" s="39"/>
      <c r="D101" s="39"/>
      <c r="E101" s="39"/>
      <c r="F101" s="39"/>
      <c r="G101" s="39"/>
      <c r="H101" s="39"/>
      <c r="I101" s="40"/>
      <c r="J101" s="39"/>
      <c r="K101" s="23"/>
      <c r="L101" s="23"/>
      <c r="M101" s="23"/>
      <c r="N101" s="23"/>
      <c r="O101" s="23"/>
      <c r="P101" s="23"/>
      <c r="Q101" s="23"/>
      <c r="R101" s="23"/>
      <c r="S101" s="23"/>
      <c r="T101" s="23"/>
      <c r="U101" s="23"/>
      <c r="V101" s="23"/>
      <c r="W101" s="23"/>
      <c r="X101" s="23"/>
      <c r="Y101" s="23"/>
      <c r="Z101" s="23"/>
      <c r="AA101" s="23"/>
      <c r="AB101" s="23"/>
      <c r="AC101" s="23"/>
      <c r="AD101" s="23"/>
      <c r="AE101" s="23"/>
      <c r="AF101" s="23"/>
    </row>
    <row r="102" spans="1:32" x14ac:dyDescent="0.25">
      <c r="A102" s="32">
        <v>99</v>
      </c>
      <c r="B102" s="39"/>
      <c r="C102" s="39"/>
      <c r="D102" s="39"/>
      <c r="E102" s="39"/>
      <c r="F102" s="39"/>
      <c r="G102" s="39"/>
      <c r="H102" s="39"/>
      <c r="I102" s="40"/>
      <c r="J102" s="39"/>
      <c r="K102" s="23"/>
      <c r="L102" s="23"/>
      <c r="M102" s="23"/>
      <c r="N102" s="23"/>
      <c r="O102" s="23"/>
      <c r="P102" s="23"/>
      <c r="Q102" s="23"/>
      <c r="R102" s="23"/>
      <c r="S102" s="23"/>
      <c r="T102" s="23"/>
      <c r="U102" s="23"/>
      <c r="V102" s="23"/>
      <c r="W102" s="23"/>
      <c r="X102" s="23"/>
      <c r="Y102" s="23"/>
      <c r="Z102" s="23"/>
      <c r="AA102" s="23"/>
      <c r="AB102" s="23"/>
      <c r="AC102" s="23"/>
      <c r="AD102" s="23"/>
      <c r="AE102" s="23"/>
      <c r="AF102" s="23"/>
    </row>
    <row r="103" spans="1:32" x14ac:dyDescent="0.25">
      <c r="A103" s="32">
        <v>100</v>
      </c>
      <c r="B103" s="39"/>
      <c r="C103" s="39"/>
      <c r="D103" s="39"/>
      <c r="E103" s="39"/>
      <c r="F103" s="39"/>
      <c r="G103" s="39"/>
      <c r="H103" s="39"/>
      <c r="I103" s="40"/>
      <c r="J103" s="39"/>
      <c r="K103" s="23"/>
      <c r="L103" s="23"/>
      <c r="M103" s="23"/>
      <c r="N103" s="23"/>
      <c r="O103" s="23"/>
      <c r="P103" s="23"/>
      <c r="Q103" s="23"/>
      <c r="R103" s="23"/>
      <c r="S103" s="23"/>
      <c r="T103" s="23"/>
      <c r="U103" s="23"/>
      <c r="V103" s="23"/>
      <c r="W103" s="23"/>
      <c r="X103" s="23"/>
      <c r="Y103" s="23"/>
      <c r="Z103" s="23"/>
      <c r="AA103" s="23"/>
      <c r="AB103" s="23"/>
      <c r="AC103" s="23"/>
      <c r="AD103" s="23"/>
      <c r="AE103" s="23"/>
      <c r="AF103" s="23"/>
    </row>
    <row r="104" spans="1:32" x14ac:dyDescent="0.25">
      <c r="A104" s="32">
        <v>101</v>
      </c>
      <c r="B104" s="39"/>
      <c r="C104" s="39"/>
      <c r="D104" s="39"/>
      <c r="E104" s="39"/>
      <c r="F104" s="39"/>
      <c r="G104" s="39"/>
      <c r="H104" s="39"/>
      <c r="I104" s="40"/>
      <c r="J104" s="39"/>
      <c r="K104" s="23"/>
      <c r="L104" s="23"/>
      <c r="M104" s="23"/>
      <c r="N104" s="23"/>
      <c r="O104" s="23"/>
      <c r="P104" s="23"/>
      <c r="Q104" s="23"/>
      <c r="R104" s="23"/>
      <c r="S104" s="23"/>
      <c r="T104" s="23"/>
      <c r="U104" s="23"/>
      <c r="V104" s="23"/>
      <c r="W104" s="23"/>
      <c r="X104" s="23"/>
      <c r="Y104" s="23"/>
      <c r="Z104" s="23"/>
      <c r="AA104" s="23"/>
      <c r="AB104" s="23"/>
      <c r="AC104" s="23"/>
      <c r="AD104" s="23"/>
      <c r="AE104" s="23"/>
      <c r="AF104" s="23"/>
    </row>
    <row r="105" spans="1:32" x14ac:dyDescent="0.25">
      <c r="A105" s="73"/>
      <c r="B105" s="20"/>
      <c r="C105" s="20"/>
      <c r="D105" s="20"/>
      <c r="E105" s="20"/>
      <c r="F105" s="20"/>
      <c r="G105" s="20"/>
      <c r="H105" s="20"/>
      <c r="I105" s="22"/>
      <c r="J105" s="20"/>
      <c r="K105" s="23"/>
      <c r="L105" s="23"/>
      <c r="M105" s="23"/>
      <c r="N105" s="23"/>
      <c r="O105" s="23"/>
      <c r="P105" s="23"/>
      <c r="Q105" s="23"/>
      <c r="R105" s="23"/>
      <c r="S105" s="23"/>
      <c r="T105" s="23"/>
      <c r="U105" s="23"/>
      <c r="V105" s="23"/>
      <c r="W105" s="23"/>
      <c r="X105" s="23"/>
      <c r="Y105" s="23"/>
      <c r="Z105" s="23"/>
      <c r="AA105" s="23"/>
      <c r="AB105" s="23"/>
      <c r="AC105" s="23"/>
      <c r="AD105" s="23"/>
      <c r="AE105" s="23"/>
      <c r="AF105" s="23"/>
    </row>
    <row r="106" spans="1:32" x14ac:dyDescent="0.25">
      <c r="A106" s="73"/>
      <c r="B106" s="20"/>
      <c r="C106" s="20"/>
      <c r="D106" s="20"/>
      <c r="E106" s="20"/>
      <c r="F106" s="20"/>
      <c r="G106" s="20"/>
      <c r="H106" s="20"/>
      <c r="I106" s="22"/>
      <c r="J106" s="20"/>
      <c r="K106" s="23"/>
      <c r="L106" s="23"/>
      <c r="M106" s="23"/>
      <c r="N106" s="23"/>
      <c r="O106" s="23"/>
      <c r="P106" s="23"/>
      <c r="Q106" s="23"/>
      <c r="R106" s="23"/>
      <c r="S106" s="23"/>
      <c r="T106" s="23"/>
      <c r="U106" s="23"/>
      <c r="V106" s="23"/>
      <c r="W106" s="23"/>
      <c r="X106" s="23"/>
      <c r="Y106" s="23"/>
      <c r="Z106" s="23"/>
      <c r="AA106" s="23"/>
      <c r="AB106" s="23"/>
      <c r="AC106" s="23"/>
      <c r="AD106" s="23"/>
      <c r="AE106" s="23"/>
      <c r="AF106" s="23"/>
    </row>
    <row r="107" spans="1:32" x14ac:dyDescent="0.25">
      <c r="A107" s="73"/>
      <c r="B107" s="20"/>
      <c r="C107" s="20"/>
      <c r="D107" s="20"/>
      <c r="E107" s="20"/>
      <c r="F107" s="20"/>
      <c r="G107" s="20"/>
      <c r="H107" s="20"/>
      <c r="I107" s="22"/>
      <c r="J107" s="20"/>
      <c r="K107" s="23"/>
      <c r="L107" s="23"/>
      <c r="M107" s="23"/>
      <c r="N107" s="23"/>
      <c r="O107" s="23"/>
      <c r="P107" s="23"/>
      <c r="Q107" s="23"/>
      <c r="R107" s="23"/>
      <c r="S107" s="23"/>
      <c r="T107" s="23"/>
      <c r="U107" s="23"/>
      <c r="V107" s="23"/>
      <c r="W107" s="23"/>
      <c r="X107" s="23"/>
      <c r="Y107" s="23"/>
      <c r="Z107" s="23"/>
      <c r="AA107" s="23"/>
      <c r="AB107" s="23"/>
      <c r="AC107" s="23"/>
      <c r="AD107" s="23"/>
      <c r="AE107" s="23"/>
      <c r="AF107" s="23"/>
    </row>
    <row r="108" spans="1:32" x14ac:dyDescent="0.25">
      <c r="A108" s="73"/>
      <c r="B108" s="20"/>
      <c r="C108" s="20"/>
      <c r="D108" s="20"/>
      <c r="E108" s="20"/>
      <c r="F108" s="20"/>
      <c r="G108" s="20"/>
      <c r="H108" s="20"/>
      <c r="I108" s="22"/>
      <c r="J108" s="20"/>
      <c r="K108" s="23"/>
      <c r="L108" s="23"/>
      <c r="M108" s="23"/>
      <c r="N108" s="23"/>
      <c r="O108" s="23"/>
      <c r="P108" s="23"/>
      <c r="Q108" s="23"/>
      <c r="R108" s="23"/>
      <c r="S108" s="23"/>
      <c r="T108" s="23"/>
      <c r="U108" s="23"/>
      <c r="V108" s="23"/>
      <c r="W108" s="23"/>
      <c r="X108" s="23"/>
      <c r="Y108" s="23"/>
      <c r="Z108" s="23"/>
      <c r="AA108" s="23"/>
      <c r="AB108" s="23"/>
      <c r="AC108" s="23"/>
      <c r="AD108" s="23"/>
      <c r="AE108" s="23"/>
      <c r="AF108" s="23"/>
    </row>
  </sheetData>
  <mergeCells count="4">
    <mergeCell ref="L4:AE4"/>
    <mergeCell ref="Y10:AD10"/>
    <mergeCell ref="Y14:AD14"/>
    <mergeCell ref="L16:AE16"/>
  </mergeCells>
  <pageMargins left="0.7" right="0.7" top="0.75" bottom="0.75" header="0.3" footer="0.3"/>
  <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29"/>
  <sheetViews>
    <sheetView showGridLines="0" workbookViewId="0">
      <selection activeCell="Q1" sqref="Q1"/>
    </sheetView>
  </sheetViews>
  <sheetFormatPr defaultRowHeight="15.75" x14ac:dyDescent="0.25"/>
  <cols>
    <col min="1" max="1" width="7.875" bestFit="1" customWidth="1"/>
    <col min="2" max="3" width="10" bestFit="1" customWidth="1"/>
    <col min="4" max="4" width="19" bestFit="1" customWidth="1"/>
    <col min="5" max="5" width="8.375" bestFit="1" customWidth="1"/>
    <col min="6" max="6" width="5.375" bestFit="1" customWidth="1"/>
    <col min="7" max="7" width="5.875" bestFit="1" customWidth="1"/>
    <col min="8" max="8" width="11.875" bestFit="1" customWidth="1"/>
    <col min="9" max="9" width="11.875" customWidth="1"/>
    <col min="10" max="10" width="12.125" bestFit="1" customWidth="1"/>
    <col min="11" max="11" width="3.75" customWidth="1"/>
    <col min="12" max="31" width="3.625" customWidth="1"/>
    <col min="32" max="32" width="3" customWidth="1"/>
  </cols>
  <sheetData>
    <row r="1" spans="1:32" x14ac:dyDescent="0.25">
      <c r="A1" s="16"/>
      <c r="B1" s="16"/>
      <c r="C1" s="16"/>
      <c r="D1" s="16"/>
      <c r="E1" s="16"/>
      <c r="F1" s="16"/>
      <c r="G1" s="16"/>
      <c r="H1" s="16"/>
      <c r="I1" s="16"/>
      <c r="J1" s="16"/>
      <c r="K1" s="16"/>
      <c r="L1" s="16"/>
      <c r="M1" s="16"/>
      <c r="N1" s="16"/>
      <c r="O1" s="16"/>
      <c r="P1" s="16"/>
      <c r="Q1" s="16"/>
      <c r="R1" s="16"/>
      <c r="S1" s="17">
        <f t="shared" ref="S1:AB1" si="0">VLOOKUP(MAX($A$3:$A$147),$A$3:$H$147,2)</f>
        <v>0</v>
      </c>
      <c r="T1" s="17">
        <f t="shared" si="0"/>
        <v>0</v>
      </c>
      <c r="U1" s="17">
        <f t="shared" si="0"/>
        <v>0</v>
      </c>
      <c r="V1" s="17">
        <f t="shared" si="0"/>
        <v>0</v>
      </c>
      <c r="W1" s="17">
        <f t="shared" si="0"/>
        <v>0</v>
      </c>
      <c r="X1" s="17">
        <f t="shared" si="0"/>
        <v>0</v>
      </c>
      <c r="Y1" s="17">
        <f t="shared" si="0"/>
        <v>0</v>
      </c>
      <c r="Z1" s="17">
        <f t="shared" si="0"/>
        <v>0</v>
      </c>
      <c r="AA1" s="17">
        <f t="shared" si="0"/>
        <v>0</v>
      </c>
      <c r="AB1" s="17">
        <f t="shared" si="0"/>
        <v>0</v>
      </c>
      <c r="AC1" s="18"/>
      <c r="AD1" s="18"/>
      <c r="AE1" s="18"/>
      <c r="AF1" s="18"/>
    </row>
    <row r="2" spans="1:32" ht="16.5" thickBot="1" x14ac:dyDescent="0.3">
      <c r="A2" s="73"/>
      <c r="B2" s="20"/>
      <c r="C2" s="20"/>
      <c r="D2" s="20"/>
      <c r="E2" s="20"/>
      <c r="F2" s="20"/>
      <c r="G2" s="20"/>
      <c r="H2" s="20"/>
      <c r="I2" s="22"/>
      <c r="J2" s="20"/>
      <c r="K2" s="23"/>
      <c r="L2" s="23"/>
      <c r="M2" s="23"/>
      <c r="N2" s="23"/>
      <c r="O2" s="23"/>
      <c r="P2" s="23"/>
      <c r="Q2" s="23"/>
      <c r="R2" s="23"/>
      <c r="S2" s="23"/>
      <c r="T2" s="23"/>
      <c r="U2" s="23"/>
      <c r="V2" s="23"/>
      <c r="W2" s="23"/>
      <c r="X2" s="23"/>
      <c r="Y2" s="23"/>
      <c r="Z2" s="23"/>
      <c r="AA2" s="23"/>
      <c r="AB2" s="23"/>
      <c r="AC2" s="23"/>
      <c r="AD2" s="23"/>
      <c r="AE2" s="23"/>
      <c r="AF2" s="23"/>
    </row>
    <row r="3" spans="1:32" x14ac:dyDescent="0.25">
      <c r="A3" s="68" t="s">
        <v>38</v>
      </c>
      <c r="B3" s="69" t="s">
        <v>39</v>
      </c>
      <c r="C3" s="69" t="s">
        <v>40</v>
      </c>
      <c r="D3" s="69" t="s">
        <v>41</v>
      </c>
      <c r="E3" s="68" t="s">
        <v>42</v>
      </c>
      <c r="F3" s="68" t="s">
        <v>43</v>
      </c>
      <c r="G3" s="68" t="s">
        <v>44</v>
      </c>
      <c r="H3" s="68" t="s">
        <v>45</v>
      </c>
      <c r="I3" s="68" t="s">
        <v>46</v>
      </c>
      <c r="J3" s="68" t="s">
        <v>47</v>
      </c>
      <c r="K3" s="23"/>
      <c r="L3" s="29"/>
      <c r="M3" s="30"/>
      <c r="N3" s="30"/>
      <c r="O3" s="30"/>
      <c r="P3" s="30"/>
      <c r="Q3" s="30"/>
      <c r="R3" s="30"/>
      <c r="S3" s="30"/>
      <c r="T3" s="30"/>
      <c r="U3" s="30"/>
      <c r="V3" s="30"/>
      <c r="W3" s="30"/>
      <c r="X3" s="30"/>
      <c r="Y3" s="30"/>
      <c r="Z3" s="30"/>
      <c r="AA3" s="30"/>
      <c r="AB3" s="30"/>
      <c r="AC3" s="30"/>
      <c r="AD3" s="30"/>
      <c r="AE3" s="31"/>
      <c r="AF3" s="23"/>
    </row>
    <row r="4" spans="1:32" x14ac:dyDescent="0.25">
      <c r="A4" s="32">
        <v>1</v>
      </c>
      <c r="B4" s="33" t="s">
        <v>48</v>
      </c>
      <c r="C4" s="34" t="s">
        <v>49</v>
      </c>
      <c r="D4" s="34" t="s">
        <v>50</v>
      </c>
      <c r="E4" s="34" t="s">
        <v>51</v>
      </c>
      <c r="F4" s="35" t="s">
        <v>52</v>
      </c>
      <c r="G4" s="35">
        <v>30062</v>
      </c>
      <c r="H4" s="33" t="s">
        <v>53</v>
      </c>
      <c r="I4" s="37" t="s">
        <v>54</v>
      </c>
      <c r="J4" s="70">
        <v>157665</v>
      </c>
      <c r="K4" s="23"/>
      <c r="L4" s="300" t="s">
        <v>55</v>
      </c>
      <c r="M4" s="301"/>
      <c r="N4" s="301"/>
      <c r="O4" s="301"/>
      <c r="P4" s="301"/>
      <c r="Q4" s="301"/>
      <c r="R4" s="301"/>
      <c r="S4" s="301"/>
      <c r="T4" s="301"/>
      <c r="U4" s="301"/>
      <c r="V4" s="301"/>
      <c r="W4" s="301"/>
      <c r="X4" s="301"/>
      <c r="Y4" s="301"/>
      <c r="Z4" s="301"/>
      <c r="AA4" s="301"/>
      <c r="AB4" s="301"/>
      <c r="AC4" s="301"/>
      <c r="AD4" s="301"/>
      <c r="AE4" s="302"/>
      <c r="AF4" s="23"/>
    </row>
    <row r="5" spans="1:32" x14ac:dyDescent="0.25">
      <c r="A5" s="32">
        <v>2</v>
      </c>
      <c r="B5" s="39" t="s">
        <v>56</v>
      </c>
      <c r="C5" s="39" t="s">
        <v>57</v>
      </c>
      <c r="D5" s="39" t="s">
        <v>58</v>
      </c>
      <c r="E5" s="39" t="s">
        <v>51</v>
      </c>
      <c r="F5" s="40" t="s">
        <v>52</v>
      </c>
      <c r="G5" s="40">
        <v>30063</v>
      </c>
      <c r="H5" s="42" t="s">
        <v>59</v>
      </c>
      <c r="I5" s="43" t="s">
        <v>60</v>
      </c>
      <c r="J5" s="71">
        <v>156340</v>
      </c>
      <c r="K5" s="23"/>
      <c r="L5" s="45"/>
      <c r="M5" s="46"/>
      <c r="N5" s="46"/>
      <c r="O5" s="46"/>
      <c r="P5" s="46"/>
      <c r="Q5" s="46"/>
      <c r="R5" s="46"/>
      <c r="S5" s="46"/>
      <c r="T5" s="46"/>
      <c r="U5" s="46"/>
      <c r="V5" s="46"/>
      <c r="W5" s="46"/>
      <c r="X5" s="46"/>
      <c r="Y5" s="46"/>
      <c r="Z5" s="46"/>
      <c r="AA5" s="46"/>
      <c r="AB5" s="46"/>
      <c r="AC5" s="46"/>
      <c r="AD5" s="46"/>
      <c r="AE5" s="47"/>
      <c r="AF5" s="23"/>
    </row>
    <row r="6" spans="1:32" x14ac:dyDescent="0.25">
      <c r="A6" s="32">
        <v>3</v>
      </c>
      <c r="B6" s="39" t="s">
        <v>61</v>
      </c>
      <c r="C6" s="42" t="s">
        <v>62</v>
      </c>
      <c r="D6" s="39" t="s">
        <v>63</v>
      </c>
      <c r="E6" s="39" t="s">
        <v>51</v>
      </c>
      <c r="F6" s="40" t="s">
        <v>52</v>
      </c>
      <c r="G6" s="40">
        <v>30064</v>
      </c>
      <c r="H6" s="42" t="s">
        <v>64</v>
      </c>
      <c r="I6" s="43" t="s">
        <v>65</v>
      </c>
      <c r="J6" s="71">
        <v>81480</v>
      </c>
      <c r="K6" s="23"/>
      <c r="L6" s="45"/>
      <c r="M6" s="48" t="s">
        <v>39</v>
      </c>
      <c r="N6" s="46"/>
      <c r="O6" s="46"/>
      <c r="P6" s="223" t="str">
        <f ca="1">INDIRECT("B"&amp;IF(ISERROR(MATCH(9.999999E+306,B:B)),MATCH("*",B:B,-1),IF(ISERROR(MATCH("*",B:B,-1)),MATCH(9.999999E+306,B:B),MAX(MATCH(9.999999E+306,B:B),MATCH("*",B:B,-1)))))</f>
        <v>Collins</v>
      </c>
      <c r="Q6" s="285"/>
      <c r="R6" s="285"/>
      <c r="S6" s="285"/>
      <c r="T6" s="285"/>
      <c r="U6" s="286"/>
      <c r="V6" s="46"/>
      <c r="W6" s="52" t="s">
        <v>42</v>
      </c>
      <c r="X6" s="46"/>
      <c r="Y6" s="223" t="str">
        <f ca="1">INDIRECT("E"&amp;IF(ISERROR(MATCH(9.999999E+306,E:E)),MATCH("*",E:E,-1),IF(ISERROR(MATCH("*",E:E,-1)),MATCH(9.999999E+306,E:E),MAX(MATCH(9.999999E+306,E:E),MATCH("*",E:E,-1)))))</f>
        <v>Norcross</v>
      </c>
      <c r="Z6" s="50"/>
      <c r="AA6" s="50"/>
      <c r="AB6" s="50"/>
      <c r="AC6" s="50"/>
      <c r="AD6" s="51"/>
      <c r="AE6" s="47"/>
      <c r="AF6" s="23"/>
    </row>
    <row r="7" spans="1:32" x14ac:dyDescent="0.25">
      <c r="A7" s="32">
        <v>4</v>
      </c>
      <c r="B7" s="39" t="s">
        <v>66</v>
      </c>
      <c r="C7" s="42" t="s">
        <v>67</v>
      </c>
      <c r="D7" s="39" t="s">
        <v>68</v>
      </c>
      <c r="E7" s="39" t="s">
        <v>51</v>
      </c>
      <c r="F7" s="40" t="s">
        <v>52</v>
      </c>
      <c r="G7" s="40">
        <v>30065</v>
      </c>
      <c r="H7" s="42" t="s">
        <v>69</v>
      </c>
      <c r="I7" s="43" t="s">
        <v>54</v>
      </c>
      <c r="J7" s="71">
        <v>202578</v>
      </c>
      <c r="K7" s="23"/>
      <c r="L7" s="45"/>
      <c r="M7" s="46"/>
      <c r="N7" s="46"/>
      <c r="O7" s="46"/>
      <c r="P7" s="46"/>
      <c r="Q7" s="46"/>
      <c r="R7" s="46"/>
      <c r="S7" s="46"/>
      <c r="T7" s="46"/>
      <c r="U7" s="46"/>
      <c r="V7" s="46"/>
      <c r="W7" s="46"/>
      <c r="X7" s="46"/>
      <c r="Y7" s="46"/>
      <c r="Z7" s="46"/>
      <c r="AA7" s="46"/>
      <c r="AB7" s="46"/>
      <c r="AC7" s="46"/>
      <c r="AD7" s="46"/>
      <c r="AE7" s="47"/>
      <c r="AF7" s="23"/>
    </row>
    <row r="8" spans="1:32" x14ac:dyDescent="0.25">
      <c r="A8" s="32">
        <v>5</v>
      </c>
      <c r="B8" s="42" t="s">
        <v>70</v>
      </c>
      <c r="C8" s="39" t="s">
        <v>71</v>
      </c>
      <c r="D8" s="39" t="s">
        <v>72</v>
      </c>
      <c r="E8" s="39" t="s">
        <v>51</v>
      </c>
      <c r="F8" s="40" t="s">
        <v>52</v>
      </c>
      <c r="G8" s="40">
        <v>30066</v>
      </c>
      <c r="H8" s="42" t="s">
        <v>73</v>
      </c>
      <c r="I8" s="43" t="s">
        <v>60</v>
      </c>
      <c r="J8" s="71">
        <v>177209</v>
      </c>
      <c r="K8" s="23"/>
      <c r="L8" s="45"/>
      <c r="M8" s="48" t="s">
        <v>40</v>
      </c>
      <c r="N8" s="46"/>
      <c r="O8" s="46"/>
      <c r="P8" s="223" t="str">
        <f ca="1">INDIRECT("C"&amp;IF(ISERROR(MATCH(9.999999E+306,C:C)),MATCH("*",C:C,-1),IF(ISERROR(MATCH("*",C:C,-1)),MATCH(9.999999E+306,C:C),MAX(MATCH(9.999999E+306,C:C),MATCH("*",C:C,-1)))))</f>
        <v>Carlton</v>
      </c>
      <c r="Q8" s="285"/>
      <c r="R8" s="285"/>
      <c r="S8" s="285"/>
      <c r="T8" s="285"/>
      <c r="U8" s="286"/>
      <c r="V8" s="46"/>
      <c r="W8" s="52" t="s">
        <v>43</v>
      </c>
      <c r="X8" s="46"/>
      <c r="Y8" s="223" t="str">
        <f ca="1">INDIRECT("F"&amp;IF(ISERROR(MATCH(9.999999E+306,F:F)),MATCH("*",F:F,-1),IF(ISERROR(MATCH("*",F:F,-1)),MATCH(9.999999E+306,F:F),MAX(MATCH(9.999999E+306,F:F),MATCH("*",F:F,-1)))))</f>
        <v xml:space="preserve">GA </v>
      </c>
      <c r="Z8" s="50"/>
      <c r="AA8" s="50"/>
      <c r="AB8" s="50"/>
      <c r="AC8" s="50"/>
      <c r="AD8" s="51"/>
      <c r="AE8" s="47"/>
      <c r="AF8" s="23"/>
    </row>
    <row r="9" spans="1:32" x14ac:dyDescent="0.25">
      <c r="A9" s="32">
        <v>6</v>
      </c>
      <c r="B9" s="39" t="s">
        <v>74</v>
      </c>
      <c r="C9" s="39" t="s">
        <v>75</v>
      </c>
      <c r="D9" s="39" t="s">
        <v>76</v>
      </c>
      <c r="E9" s="39" t="s">
        <v>77</v>
      </c>
      <c r="F9" s="40" t="s">
        <v>52</v>
      </c>
      <c r="G9" s="40">
        <v>30092</v>
      </c>
      <c r="H9" s="42" t="s">
        <v>78</v>
      </c>
      <c r="I9" s="43" t="s">
        <v>65</v>
      </c>
      <c r="J9" s="71">
        <v>212254.23</v>
      </c>
      <c r="K9" s="23"/>
      <c r="L9" s="45"/>
      <c r="M9" s="46"/>
      <c r="N9" s="46"/>
      <c r="O9" s="46"/>
      <c r="P9" s="46"/>
      <c r="Q9" s="46"/>
      <c r="R9" s="46"/>
      <c r="S9" s="46"/>
      <c r="T9" s="46"/>
      <c r="U9" s="46"/>
      <c r="V9" s="46"/>
      <c r="W9" s="46"/>
      <c r="X9" s="46"/>
      <c r="Y9" s="46"/>
      <c r="Z9" s="46"/>
      <c r="AA9" s="46"/>
      <c r="AB9" s="46"/>
      <c r="AC9" s="46"/>
      <c r="AD9" s="46"/>
      <c r="AE9" s="47"/>
      <c r="AF9" s="23"/>
    </row>
    <row r="10" spans="1:32" x14ac:dyDescent="0.25">
      <c r="A10" s="32">
        <v>7</v>
      </c>
      <c r="B10" s="39" t="s">
        <v>79</v>
      </c>
      <c r="C10" s="39" t="s">
        <v>80</v>
      </c>
      <c r="D10" s="39" t="s">
        <v>50</v>
      </c>
      <c r="E10" s="39" t="s">
        <v>81</v>
      </c>
      <c r="F10" s="40" t="s">
        <v>82</v>
      </c>
      <c r="G10" s="40">
        <v>30092</v>
      </c>
      <c r="H10" s="42" t="s">
        <v>53</v>
      </c>
      <c r="I10" s="43" t="s">
        <v>54</v>
      </c>
      <c r="J10" s="71">
        <v>124533.45</v>
      </c>
      <c r="K10" s="23"/>
      <c r="L10" s="45"/>
      <c r="M10" s="48" t="s">
        <v>41</v>
      </c>
      <c r="N10" s="46"/>
      <c r="O10" s="46"/>
      <c r="P10" s="223" t="str">
        <f ca="1">INDIRECT("D"&amp;IF(ISERROR(MATCH(9.999999E+306,D:D)),MATCH("*",D:D,-1),IF(ISERROR(MATCH("*",D:D,-1)),MATCH(9.999999E+306,D:D),MAX(MATCH(9.999999E+306,D:D),MATCH("*",D:D,-1)))))</f>
        <v>100 Peachtree Street</v>
      </c>
      <c r="Q10" s="50"/>
      <c r="R10" s="50"/>
      <c r="S10" s="50"/>
      <c r="T10" s="50"/>
      <c r="U10" s="51"/>
      <c r="V10" s="46"/>
      <c r="W10" s="52" t="s">
        <v>44</v>
      </c>
      <c r="X10" s="46"/>
      <c r="Y10" s="426">
        <f ca="1">INDIRECT("G"&amp;IF(ISERROR(MATCH(9.999999E+306,G:G)),MATCH("*",G:G,-1),IF(ISERROR(MATCH("*",G:G,-1)),MATCH(9.999999E+306,G:G),MAX(MATCH(9.999999E+306,G:G),MATCH("*",G:G,-1)))))</f>
        <v>30092</v>
      </c>
      <c r="Z10" s="427"/>
      <c r="AA10" s="427"/>
      <c r="AB10" s="427"/>
      <c r="AC10" s="427"/>
      <c r="AD10" s="428"/>
      <c r="AE10" s="47"/>
      <c r="AF10" s="23"/>
    </row>
    <row r="11" spans="1:32" x14ac:dyDescent="0.25">
      <c r="A11" s="32">
        <v>8</v>
      </c>
      <c r="B11" s="39"/>
      <c r="C11" s="39"/>
      <c r="D11" s="39"/>
      <c r="E11" s="39"/>
      <c r="F11" s="39"/>
      <c r="G11" s="39"/>
      <c r="H11" s="39"/>
      <c r="I11" s="40"/>
      <c r="J11" s="39"/>
      <c r="K11" s="23"/>
      <c r="L11" s="45"/>
      <c r="M11" s="46"/>
      <c r="N11" s="46"/>
      <c r="O11" s="46"/>
      <c r="P11" s="46"/>
      <c r="Q11" s="46"/>
      <c r="R11" s="46"/>
      <c r="S11" s="46"/>
      <c r="T11" s="46"/>
      <c r="U11" s="46"/>
      <c r="V11" s="46"/>
      <c r="W11" s="46"/>
      <c r="X11" s="46"/>
      <c r="Y11" s="46"/>
      <c r="Z11" s="46"/>
      <c r="AA11" s="46"/>
      <c r="AB11" s="46"/>
      <c r="AC11" s="46"/>
      <c r="AD11" s="46"/>
      <c r="AE11" s="47"/>
      <c r="AF11" s="23"/>
    </row>
    <row r="12" spans="1:32" x14ac:dyDescent="0.25">
      <c r="A12" s="32">
        <v>9</v>
      </c>
      <c r="B12" s="39"/>
      <c r="C12" s="39"/>
      <c r="D12" s="39"/>
      <c r="E12" s="39"/>
      <c r="F12" s="39"/>
      <c r="G12" s="39"/>
      <c r="H12" s="39"/>
      <c r="I12" s="40"/>
      <c r="J12" s="39"/>
      <c r="K12" s="23"/>
      <c r="L12" s="45"/>
      <c r="M12" s="52" t="s">
        <v>45</v>
      </c>
      <c r="N12" s="46"/>
      <c r="O12" s="46"/>
      <c r="P12" s="223" t="str">
        <f ca="1">INDIRECT("H"&amp;IF(ISERROR(MATCH(9.999999E+306,H:H)),MATCH("*",H:H,-1),IF(ISERROR(MATCH("*",H:H,-1)),MATCH(9.999999E+306,H:H),MAX(MATCH(9.999999E+306,H:H),MATCH("*",H:H,-1)))))</f>
        <v>770.842.5902</v>
      </c>
      <c r="Q12" s="50"/>
      <c r="R12" s="50"/>
      <c r="S12" s="50"/>
      <c r="T12" s="50"/>
      <c r="U12" s="51"/>
      <c r="V12" s="46"/>
      <c r="W12" s="60" t="s">
        <v>99</v>
      </c>
      <c r="X12" s="46"/>
      <c r="Y12" s="223" t="str">
        <f ca="1">INDIRECT("I"&amp;IF(ISERROR(MATCH(9.999999E+306,I:I)),MATCH("*",I:I,-1),IF(ISERROR(MATCH("*",I:I,-1)),MATCH(9.999999E+306,I:I),MAX(MATCH(9.999999E+306,I:I),MATCH("*",I:I,-1)))))</f>
        <v>Plan A</v>
      </c>
      <c r="Z12" s="50"/>
      <c r="AA12" s="50"/>
      <c r="AB12" s="50"/>
      <c r="AC12" s="50"/>
      <c r="AD12" s="51"/>
      <c r="AE12" s="47"/>
      <c r="AF12" s="23"/>
    </row>
    <row r="13" spans="1:32" x14ac:dyDescent="0.25">
      <c r="A13" s="32">
        <v>10</v>
      </c>
      <c r="B13" s="39"/>
      <c r="C13" s="39"/>
      <c r="D13" s="39"/>
      <c r="E13" s="39"/>
      <c r="F13" s="39"/>
      <c r="G13" s="39"/>
      <c r="H13" s="39"/>
      <c r="I13" s="40"/>
      <c r="J13" s="39"/>
      <c r="K13" s="23"/>
      <c r="L13" s="45"/>
      <c r="M13" s="46"/>
      <c r="N13" s="46"/>
      <c r="O13" s="46"/>
      <c r="P13" s="46"/>
      <c r="Q13" s="46"/>
      <c r="R13" s="46"/>
      <c r="S13" s="46"/>
      <c r="T13" s="46"/>
      <c r="U13" s="46"/>
      <c r="V13" s="46"/>
      <c r="W13" s="46"/>
      <c r="X13" s="46"/>
      <c r="Y13" s="46"/>
      <c r="Z13" s="46"/>
      <c r="AA13" s="46"/>
      <c r="AB13" s="46"/>
      <c r="AC13" s="46"/>
      <c r="AD13" s="46"/>
      <c r="AE13" s="47"/>
      <c r="AF13" s="23"/>
    </row>
    <row r="14" spans="1:32" x14ac:dyDescent="0.25">
      <c r="A14" s="32">
        <v>11</v>
      </c>
      <c r="B14" s="39"/>
      <c r="C14" s="39"/>
      <c r="D14" s="39"/>
      <c r="E14" s="39"/>
      <c r="F14" s="39"/>
      <c r="G14" s="39"/>
      <c r="H14" s="39"/>
      <c r="I14" s="40"/>
      <c r="J14" s="39"/>
      <c r="K14" s="23"/>
      <c r="L14" s="45"/>
      <c r="M14" s="52" t="s">
        <v>90</v>
      </c>
      <c r="N14" s="46"/>
      <c r="O14" s="46"/>
      <c r="P14" s="46"/>
      <c r="Q14" s="46"/>
      <c r="R14" s="46"/>
      <c r="S14" s="46"/>
      <c r="T14" s="46"/>
      <c r="U14" s="46"/>
      <c r="V14" s="46"/>
      <c r="W14" s="46"/>
      <c r="X14" s="46"/>
      <c r="Y14" s="347">
        <f ca="1">INDIRECT("J"&amp;IF(ISERROR(MATCH(9.999999E+306,J:J)),MATCH("*",J:J,-1),IF(ISERROR(MATCH("*",J:J,-1)),MATCH(9.999999E+306,J:J),MAX(MATCH(9.999999E+306,J:J),MATCH("*",J:J,-1)))))</f>
        <v>124533.45</v>
      </c>
      <c r="Z14" s="348"/>
      <c r="AA14" s="348"/>
      <c r="AB14" s="348"/>
      <c r="AC14" s="348"/>
      <c r="AD14" s="349"/>
      <c r="AE14" s="47"/>
      <c r="AF14" s="23"/>
    </row>
    <row r="15" spans="1:32" x14ac:dyDescent="0.25">
      <c r="A15" s="32">
        <v>12</v>
      </c>
      <c r="B15" s="39"/>
      <c r="C15" s="39"/>
      <c r="D15" s="39"/>
      <c r="E15" s="39"/>
      <c r="F15" s="39"/>
      <c r="G15" s="39"/>
      <c r="H15" s="39"/>
      <c r="I15" s="40"/>
      <c r="J15" s="39"/>
      <c r="K15" s="23"/>
      <c r="L15" s="45"/>
      <c r="M15" s="46"/>
      <c r="N15" s="46"/>
      <c r="O15" s="46"/>
      <c r="P15" s="46"/>
      <c r="Q15" s="46"/>
      <c r="R15" s="46"/>
      <c r="S15" s="46"/>
      <c r="T15" s="46"/>
      <c r="U15" s="46"/>
      <c r="V15" s="46"/>
      <c r="W15" s="46"/>
      <c r="X15" s="46"/>
      <c r="Y15" s="46"/>
      <c r="Z15" s="46"/>
      <c r="AA15" s="46"/>
      <c r="AB15" s="46"/>
      <c r="AC15" s="46"/>
      <c r="AD15" s="46"/>
      <c r="AE15" s="47"/>
      <c r="AF15" s="23"/>
    </row>
    <row r="16" spans="1:32" x14ac:dyDescent="0.25">
      <c r="A16" s="32">
        <v>13</v>
      </c>
      <c r="B16" s="39"/>
      <c r="C16" s="39"/>
      <c r="D16" s="39"/>
      <c r="E16" s="39"/>
      <c r="F16" s="39"/>
      <c r="G16" s="39"/>
      <c r="H16" s="39"/>
      <c r="I16" s="40"/>
      <c r="J16" s="39"/>
      <c r="K16" s="23"/>
      <c r="L16" s="303" t="s">
        <v>91</v>
      </c>
      <c r="M16" s="304"/>
      <c r="N16" s="304"/>
      <c r="O16" s="304"/>
      <c r="P16" s="304"/>
      <c r="Q16" s="304"/>
      <c r="R16" s="304"/>
      <c r="S16" s="304"/>
      <c r="T16" s="304"/>
      <c r="U16" s="304"/>
      <c r="V16" s="304"/>
      <c r="W16" s="304"/>
      <c r="X16" s="304"/>
      <c r="Y16" s="304"/>
      <c r="Z16" s="304"/>
      <c r="AA16" s="304"/>
      <c r="AB16" s="304"/>
      <c r="AC16" s="304"/>
      <c r="AD16" s="304"/>
      <c r="AE16" s="305"/>
      <c r="AF16" s="23"/>
    </row>
    <row r="17" spans="1:32" ht="16.5" thickBot="1" x14ac:dyDescent="0.3">
      <c r="A17" s="32">
        <v>14</v>
      </c>
      <c r="B17" s="39"/>
      <c r="C17" s="39"/>
      <c r="D17" s="39"/>
      <c r="E17" s="39"/>
      <c r="F17" s="39"/>
      <c r="G17" s="39"/>
      <c r="H17" s="39"/>
      <c r="I17" s="40"/>
      <c r="J17" s="39"/>
      <c r="K17" s="23"/>
      <c r="L17" s="61"/>
      <c r="M17" s="62"/>
      <c r="N17" s="62"/>
      <c r="O17" s="62"/>
      <c r="P17" s="62"/>
      <c r="Q17" s="62"/>
      <c r="R17" s="62"/>
      <c r="S17" s="62"/>
      <c r="T17" s="62"/>
      <c r="U17" s="62"/>
      <c r="V17" s="62"/>
      <c r="W17" s="62"/>
      <c r="X17" s="62"/>
      <c r="Y17" s="62"/>
      <c r="Z17" s="62"/>
      <c r="AA17" s="62"/>
      <c r="AB17" s="62"/>
      <c r="AC17" s="62"/>
      <c r="AD17" s="62"/>
      <c r="AE17" s="63"/>
      <c r="AF17" s="23"/>
    </row>
    <row r="18" spans="1:32" x14ac:dyDescent="0.25">
      <c r="A18" s="32">
        <v>15</v>
      </c>
      <c r="B18" s="39"/>
      <c r="C18" s="39"/>
      <c r="D18" s="39"/>
      <c r="E18" s="39"/>
      <c r="F18" s="39"/>
      <c r="G18" s="39"/>
      <c r="H18" s="39"/>
      <c r="I18" s="40"/>
      <c r="J18" s="39"/>
      <c r="K18" s="23"/>
      <c r="L18" s="23"/>
      <c r="M18" s="23"/>
      <c r="N18" s="23"/>
      <c r="O18" s="23"/>
      <c r="P18" s="23"/>
      <c r="Q18" s="23"/>
      <c r="R18" s="23"/>
      <c r="S18" s="23"/>
      <c r="T18" s="23"/>
      <c r="U18" s="23"/>
      <c r="V18" s="23"/>
      <c r="W18" s="23"/>
      <c r="X18" s="23"/>
      <c r="Y18" s="23"/>
      <c r="Z18" s="23"/>
      <c r="AA18" s="23"/>
      <c r="AB18" s="23"/>
      <c r="AC18" s="23"/>
      <c r="AD18" s="23"/>
      <c r="AE18" s="23"/>
      <c r="AF18" s="23"/>
    </row>
    <row r="19" spans="1:32" x14ac:dyDescent="0.25">
      <c r="A19" s="32">
        <v>16</v>
      </c>
      <c r="B19" s="39"/>
      <c r="C19" s="39"/>
      <c r="D19" s="39"/>
      <c r="E19" s="39"/>
      <c r="F19" s="39"/>
      <c r="G19" s="39"/>
      <c r="H19" s="39"/>
      <c r="I19" s="40"/>
      <c r="J19" s="39"/>
      <c r="K19" s="23"/>
      <c r="L19" s="23"/>
      <c r="M19" s="23"/>
      <c r="N19" s="23"/>
      <c r="O19" s="23"/>
      <c r="P19" s="23"/>
      <c r="Q19" s="23"/>
      <c r="R19" s="23"/>
      <c r="S19" s="23"/>
      <c r="T19" s="23"/>
      <c r="U19" s="23"/>
      <c r="V19" s="23"/>
      <c r="W19" s="23"/>
      <c r="X19" s="23"/>
      <c r="Y19" s="23"/>
      <c r="Z19" s="23"/>
      <c r="AA19" s="23"/>
      <c r="AB19" s="23"/>
      <c r="AC19" s="23"/>
      <c r="AD19" s="23"/>
      <c r="AE19" s="23"/>
      <c r="AF19" s="23"/>
    </row>
    <row r="20" spans="1:32" x14ac:dyDescent="0.25">
      <c r="A20" s="32">
        <v>17</v>
      </c>
      <c r="B20" s="39"/>
      <c r="C20" s="39"/>
      <c r="D20" s="39"/>
      <c r="E20" s="39"/>
      <c r="F20" s="39"/>
      <c r="G20" s="39"/>
      <c r="H20" s="39"/>
      <c r="I20" s="40"/>
      <c r="J20" s="39"/>
      <c r="K20" s="23"/>
      <c r="L20" s="23"/>
      <c r="M20" s="23"/>
      <c r="N20" s="23"/>
      <c r="O20" s="23"/>
      <c r="P20" s="23"/>
      <c r="Q20" s="23"/>
      <c r="R20" s="23"/>
      <c r="S20" s="23"/>
      <c r="T20" s="23"/>
      <c r="U20" s="23"/>
      <c r="V20" s="23"/>
      <c r="W20" s="23"/>
      <c r="X20" s="23"/>
      <c r="Y20" s="23"/>
      <c r="Z20" s="23"/>
      <c r="AA20" s="23"/>
      <c r="AB20" s="23"/>
      <c r="AC20" s="23"/>
      <c r="AD20" s="23"/>
      <c r="AE20" s="23"/>
      <c r="AF20" s="23"/>
    </row>
    <row r="21" spans="1:32" x14ac:dyDescent="0.25">
      <c r="A21" s="32">
        <v>18</v>
      </c>
      <c r="B21" s="39"/>
      <c r="C21" s="39"/>
      <c r="D21" s="39"/>
      <c r="E21" s="39"/>
      <c r="F21" s="39"/>
      <c r="G21" s="39"/>
      <c r="H21" s="39"/>
      <c r="I21" s="40"/>
      <c r="J21" s="39"/>
      <c r="K21" s="23"/>
      <c r="L21" s="23"/>
      <c r="M21" s="23"/>
      <c r="N21" s="23"/>
      <c r="O21" s="23"/>
      <c r="P21" s="23"/>
      <c r="Q21" s="23"/>
      <c r="R21" s="23"/>
      <c r="S21" s="23"/>
      <c r="T21" s="23"/>
      <c r="U21" s="23"/>
      <c r="V21" s="23"/>
      <c r="W21" s="23"/>
      <c r="X21" s="23"/>
      <c r="Y21" s="23"/>
      <c r="Z21" s="23"/>
      <c r="AA21" s="23"/>
      <c r="AB21" s="23"/>
      <c r="AC21" s="23"/>
      <c r="AD21" s="23"/>
      <c r="AE21" s="23"/>
      <c r="AF21" s="23"/>
    </row>
    <row r="22" spans="1:32" x14ac:dyDescent="0.25">
      <c r="A22" s="32">
        <v>19</v>
      </c>
      <c r="B22" s="39"/>
      <c r="C22" s="39"/>
      <c r="D22" s="39"/>
      <c r="E22" s="39"/>
      <c r="F22" s="39"/>
      <c r="G22" s="39"/>
      <c r="H22" s="39"/>
      <c r="I22" s="40"/>
      <c r="J22" s="39"/>
      <c r="K22" s="23"/>
      <c r="L22" s="23"/>
      <c r="M22" s="23"/>
      <c r="N22" s="23"/>
      <c r="O22" s="23"/>
      <c r="P22" s="23"/>
      <c r="Q22" s="23"/>
      <c r="R22" s="23"/>
      <c r="S22" s="23"/>
      <c r="T22" s="23"/>
      <c r="U22" s="23"/>
      <c r="V22" s="23"/>
      <c r="W22" s="23"/>
      <c r="X22" s="23"/>
      <c r="Y22" s="23"/>
      <c r="Z22" s="23"/>
      <c r="AA22" s="23"/>
      <c r="AB22" s="23"/>
      <c r="AC22" s="23"/>
      <c r="AD22" s="23"/>
      <c r="AE22" s="23"/>
      <c r="AF22" s="23"/>
    </row>
    <row r="23" spans="1:32" x14ac:dyDescent="0.25">
      <c r="A23" s="32">
        <v>20</v>
      </c>
      <c r="B23" s="39"/>
      <c r="C23" s="39"/>
      <c r="D23" s="39"/>
      <c r="E23" s="39"/>
      <c r="F23" s="39"/>
      <c r="G23" s="39"/>
      <c r="H23" s="39"/>
      <c r="I23" s="40"/>
      <c r="J23" s="39"/>
      <c r="K23" s="23"/>
      <c r="L23" s="23"/>
      <c r="M23" s="23"/>
      <c r="N23" s="23"/>
      <c r="O23" s="23"/>
      <c r="P23" s="23"/>
      <c r="Q23" s="23"/>
      <c r="R23" s="23"/>
      <c r="S23" s="23"/>
      <c r="T23" s="23"/>
      <c r="U23" s="23"/>
      <c r="V23" s="23"/>
      <c r="W23" s="23"/>
      <c r="X23" s="23"/>
      <c r="Y23" s="23"/>
      <c r="Z23" s="23"/>
      <c r="AA23" s="23"/>
      <c r="AB23" s="23"/>
      <c r="AC23" s="23"/>
      <c r="AD23" s="23"/>
      <c r="AE23" s="23"/>
      <c r="AF23" s="23"/>
    </row>
    <row r="24" spans="1:32" x14ac:dyDescent="0.25">
      <c r="A24" s="32">
        <v>21</v>
      </c>
      <c r="B24" s="39"/>
      <c r="C24" s="39"/>
      <c r="D24" s="39"/>
      <c r="E24" s="39"/>
      <c r="F24" s="39"/>
      <c r="G24" s="39"/>
      <c r="H24" s="39"/>
      <c r="I24" s="40"/>
      <c r="J24" s="39"/>
      <c r="K24" s="23"/>
      <c r="L24" s="23"/>
      <c r="M24" s="23"/>
      <c r="N24" s="23"/>
      <c r="O24" s="23"/>
      <c r="P24" s="23"/>
      <c r="Q24" s="23"/>
      <c r="R24" s="23"/>
      <c r="S24" s="23"/>
      <c r="T24" s="23"/>
      <c r="U24" s="23"/>
      <c r="V24" s="23"/>
      <c r="W24" s="23"/>
      <c r="X24" s="23"/>
      <c r="Y24" s="23"/>
      <c r="Z24" s="23"/>
      <c r="AA24" s="23"/>
      <c r="AB24" s="23"/>
      <c r="AC24" s="23"/>
      <c r="AD24" s="23"/>
      <c r="AE24" s="23"/>
      <c r="AF24" s="23"/>
    </row>
    <row r="25" spans="1:32" x14ac:dyDescent="0.25">
      <c r="A25" s="32">
        <v>22</v>
      </c>
      <c r="B25" s="39"/>
      <c r="C25" s="39"/>
      <c r="D25" s="39"/>
      <c r="E25" s="39"/>
      <c r="F25" s="39"/>
      <c r="G25" s="39"/>
      <c r="H25" s="39"/>
      <c r="I25" s="40"/>
      <c r="J25" s="39"/>
      <c r="K25" s="23"/>
      <c r="L25" s="23"/>
      <c r="M25" s="23"/>
      <c r="N25" s="23"/>
      <c r="O25" s="23"/>
      <c r="P25" s="23"/>
      <c r="Q25" s="23"/>
      <c r="R25" s="23"/>
      <c r="S25" s="23"/>
      <c r="T25" s="23"/>
      <c r="U25" s="23"/>
      <c r="V25" s="23"/>
      <c r="W25" s="23"/>
      <c r="X25" s="23"/>
      <c r="Y25" s="23"/>
      <c r="Z25" s="23"/>
      <c r="AA25" s="23"/>
      <c r="AB25" s="23"/>
      <c r="AC25" s="23"/>
      <c r="AD25" s="23"/>
      <c r="AE25" s="23"/>
      <c r="AF25" s="23"/>
    </row>
    <row r="26" spans="1:32" x14ac:dyDescent="0.25">
      <c r="A26" s="32">
        <v>23</v>
      </c>
      <c r="B26" s="39"/>
      <c r="C26" s="39"/>
      <c r="D26" s="39"/>
      <c r="E26" s="39"/>
      <c r="F26" s="39"/>
      <c r="G26" s="39"/>
      <c r="H26" s="39"/>
      <c r="I26" s="40"/>
      <c r="J26" s="39"/>
      <c r="K26" s="23"/>
      <c r="L26" s="23"/>
      <c r="M26" s="23"/>
      <c r="N26" s="23"/>
      <c r="O26" s="23"/>
      <c r="P26" s="23"/>
      <c r="Q26" s="23"/>
      <c r="R26" s="23"/>
      <c r="S26" s="23"/>
      <c r="T26" s="23"/>
      <c r="U26" s="23"/>
      <c r="V26" s="23"/>
      <c r="W26" s="23"/>
      <c r="X26" s="23"/>
      <c r="Y26" s="23"/>
      <c r="Z26" s="23"/>
      <c r="AA26" s="23"/>
      <c r="AB26" s="23"/>
      <c r="AC26" s="23"/>
      <c r="AD26" s="23"/>
      <c r="AE26" s="23"/>
      <c r="AF26" s="23"/>
    </row>
    <row r="27" spans="1:32" x14ac:dyDescent="0.25">
      <c r="A27" s="32">
        <v>24</v>
      </c>
      <c r="B27" s="39"/>
      <c r="C27" s="39"/>
      <c r="D27" s="39"/>
      <c r="E27" s="39"/>
      <c r="F27" s="39"/>
      <c r="G27" s="39"/>
      <c r="H27" s="39"/>
      <c r="I27" s="40"/>
      <c r="J27" s="39"/>
      <c r="K27" s="23"/>
      <c r="L27" s="23"/>
      <c r="M27" s="23"/>
      <c r="N27" s="23"/>
      <c r="O27" s="23"/>
      <c r="P27" s="23"/>
      <c r="Q27" s="23"/>
      <c r="R27" s="23"/>
      <c r="S27" s="23"/>
      <c r="T27" s="23"/>
      <c r="U27" s="23"/>
      <c r="V27" s="23"/>
      <c r="W27" s="23"/>
      <c r="X27" s="23"/>
      <c r="Y27" s="23"/>
      <c r="Z27" s="23"/>
      <c r="AA27" s="23"/>
      <c r="AB27" s="23"/>
      <c r="AC27" s="23"/>
      <c r="AD27" s="23"/>
      <c r="AE27" s="23"/>
      <c r="AF27" s="23"/>
    </row>
    <row r="28" spans="1:32" x14ac:dyDescent="0.25">
      <c r="A28" s="32">
        <v>25</v>
      </c>
      <c r="B28" s="39"/>
      <c r="C28" s="39"/>
      <c r="D28" s="39"/>
      <c r="E28" s="39"/>
      <c r="F28" s="39"/>
      <c r="G28" s="39"/>
      <c r="H28" s="39"/>
      <c r="I28" s="40"/>
      <c r="J28" s="39"/>
      <c r="K28" s="23"/>
      <c r="L28" s="23"/>
      <c r="M28" s="23"/>
      <c r="N28" s="23"/>
      <c r="O28" s="23"/>
      <c r="P28" s="23"/>
      <c r="Q28" s="23"/>
      <c r="R28" s="23"/>
      <c r="S28" s="23"/>
      <c r="T28" s="23"/>
      <c r="U28" s="23"/>
      <c r="V28" s="23"/>
      <c r="W28" s="23"/>
      <c r="X28" s="23"/>
      <c r="Y28" s="23"/>
      <c r="Z28" s="23"/>
      <c r="AA28" s="23"/>
      <c r="AB28" s="23"/>
      <c r="AC28" s="23"/>
      <c r="AD28" s="23"/>
      <c r="AE28" s="23"/>
      <c r="AF28" s="23"/>
    </row>
    <row r="29" spans="1:32" x14ac:dyDescent="0.25">
      <c r="A29" s="32">
        <v>26</v>
      </c>
      <c r="B29" s="39"/>
      <c r="C29" s="39"/>
      <c r="D29" s="39"/>
      <c r="E29" s="39"/>
      <c r="F29" s="39"/>
      <c r="G29" s="39"/>
      <c r="H29" s="39"/>
      <c r="I29" s="40"/>
      <c r="J29" s="39"/>
      <c r="K29" s="23"/>
      <c r="L29" s="23"/>
      <c r="M29" s="23"/>
      <c r="N29" s="23"/>
      <c r="O29" s="23"/>
      <c r="P29" s="23"/>
      <c r="Q29" s="23"/>
      <c r="R29" s="23"/>
      <c r="S29" s="23"/>
      <c r="T29" s="23"/>
      <c r="U29" s="23"/>
      <c r="V29" s="23"/>
      <c r="W29" s="23"/>
      <c r="X29" s="23"/>
      <c r="Y29" s="23"/>
      <c r="Z29" s="23"/>
      <c r="AA29" s="23"/>
      <c r="AB29" s="23"/>
      <c r="AC29" s="23"/>
      <c r="AD29" s="23"/>
      <c r="AE29" s="23"/>
      <c r="AF29" s="23"/>
    </row>
  </sheetData>
  <mergeCells count="4">
    <mergeCell ref="L4:AE4"/>
    <mergeCell ref="Y10:AD10"/>
    <mergeCell ref="Y14:AD14"/>
    <mergeCell ref="L16:AE16"/>
  </mergeCells>
  <pageMargins left="0.7" right="0.7" top="0.75" bottom="0.75" header="0.3" footer="0.3"/>
  <drawing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28"/>
  <sheetViews>
    <sheetView showGridLines="0" workbookViewId="0">
      <selection activeCell="Q1" sqref="Q1"/>
    </sheetView>
  </sheetViews>
  <sheetFormatPr defaultRowHeight="15.75" x14ac:dyDescent="0.25"/>
  <cols>
    <col min="1" max="1" width="7.875" customWidth="1"/>
    <col min="2" max="2" width="1.875" customWidth="1"/>
    <col min="3" max="4" width="10" bestFit="1" customWidth="1"/>
    <col min="5" max="5" width="19" bestFit="1" customWidth="1"/>
    <col min="6" max="6" width="8.375" bestFit="1" customWidth="1"/>
    <col min="7" max="7" width="5.375" bestFit="1" customWidth="1"/>
    <col min="8" max="8" width="5.875" bestFit="1" customWidth="1"/>
    <col min="9" max="9" width="11.875" bestFit="1" customWidth="1"/>
    <col min="10" max="10" width="11.875" customWidth="1"/>
    <col min="11" max="11" width="12.125" bestFit="1" customWidth="1"/>
    <col min="12" max="12" width="3.75" customWidth="1"/>
    <col min="13" max="32" width="3.625" customWidth="1"/>
    <col min="33" max="33" width="3" customWidth="1"/>
  </cols>
  <sheetData>
    <row r="1" spans="1:34" x14ac:dyDescent="0.25">
      <c r="A1" s="16"/>
      <c r="B1" s="16"/>
      <c r="C1" s="16"/>
      <c r="D1" s="16"/>
      <c r="E1" s="16"/>
      <c r="F1" s="16"/>
      <c r="G1" s="16"/>
      <c r="H1" s="16"/>
      <c r="I1" s="16"/>
      <c r="J1" s="16"/>
      <c r="K1" s="16"/>
      <c r="L1" s="16"/>
      <c r="M1" s="16"/>
      <c r="N1" s="16"/>
      <c r="O1" s="16"/>
      <c r="P1" s="16"/>
      <c r="Q1" s="16"/>
      <c r="R1" s="16"/>
      <c r="S1" s="16"/>
      <c r="T1" s="17">
        <f t="shared" ref="T1:AC1" si="0">VLOOKUP(MAX($A$3:$A$147),$A$3:$I$147,2)</f>
        <v>0</v>
      </c>
      <c r="U1" s="17">
        <f t="shared" si="0"/>
        <v>0</v>
      </c>
      <c r="V1" s="17">
        <f t="shared" si="0"/>
        <v>0</v>
      </c>
      <c r="W1" s="17">
        <f t="shared" si="0"/>
        <v>0</v>
      </c>
      <c r="X1" s="17">
        <f t="shared" si="0"/>
        <v>0</v>
      </c>
      <c r="Y1" s="17">
        <f t="shared" si="0"/>
        <v>0</v>
      </c>
      <c r="Z1" s="17">
        <f t="shared" si="0"/>
        <v>0</v>
      </c>
      <c r="AA1" s="17">
        <f t="shared" si="0"/>
        <v>0</v>
      </c>
      <c r="AB1" s="17">
        <f t="shared" si="0"/>
        <v>0</v>
      </c>
      <c r="AC1" s="17">
        <f t="shared" si="0"/>
        <v>0</v>
      </c>
      <c r="AD1" s="18"/>
      <c r="AE1" s="18"/>
      <c r="AF1" s="18"/>
      <c r="AG1" s="18"/>
      <c r="AH1" s="18"/>
    </row>
    <row r="2" spans="1:34" ht="16.5" thickBot="1" x14ac:dyDescent="0.3">
      <c r="A2" s="73"/>
      <c r="B2" s="20"/>
      <c r="C2" s="20"/>
      <c r="D2" s="20"/>
      <c r="E2" s="20"/>
      <c r="F2" s="20"/>
      <c r="G2" s="20"/>
      <c r="H2" s="20"/>
      <c r="I2" s="20"/>
      <c r="J2" s="22"/>
      <c r="K2" s="20"/>
      <c r="L2" s="23"/>
      <c r="M2" s="23"/>
      <c r="N2" s="23"/>
      <c r="O2" s="23"/>
      <c r="P2" s="23"/>
      <c r="Q2" s="23"/>
      <c r="R2" s="23"/>
      <c r="S2" s="23"/>
      <c r="T2" s="23"/>
      <c r="U2" s="23"/>
      <c r="V2" s="23"/>
      <c r="W2" s="23"/>
      <c r="X2" s="23"/>
      <c r="Y2" s="23"/>
      <c r="Z2" s="23"/>
      <c r="AA2" s="23"/>
      <c r="AB2" s="23"/>
      <c r="AC2" s="23"/>
      <c r="AD2" s="23"/>
      <c r="AE2" s="23"/>
      <c r="AF2" s="23"/>
      <c r="AG2" s="23"/>
      <c r="AH2" s="23"/>
    </row>
    <row r="3" spans="1:34" x14ac:dyDescent="0.25">
      <c r="A3" s="68" t="s">
        <v>38</v>
      </c>
      <c r="B3" s="83">
        <v>1</v>
      </c>
      <c r="C3" s="69" t="s">
        <v>39</v>
      </c>
      <c r="D3" s="69" t="s">
        <v>40</v>
      </c>
      <c r="E3" s="69" t="s">
        <v>41</v>
      </c>
      <c r="F3" s="68" t="s">
        <v>42</v>
      </c>
      <c r="G3" s="68" t="s">
        <v>43</v>
      </c>
      <c r="H3" s="68" t="s">
        <v>44</v>
      </c>
      <c r="I3" s="68" t="s">
        <v>45</v>
      </c>
      <c r="J3" s="68" t="s">
        <v>46</v>
      </c>
      <c r="K3" s="68" t="s">
        <v>47</v>
      </c>
      <c r="L3" s="23"/>
      <c r="M3" s="29"/>
      <c r="N3" s="30"/>
      <c r="O3" s="30"/>
      <c r="P3" s="30"/>
      <c r="Q3" s="30"/>
      <c r="R3" s="30"/>
      <c r="S3" s="30"/>
      <c r="T3" s="30"/>
      <c r="U3" s="30"/>
      <c r="V3" s="30"/>
      <c r="W3" s="30"/>
      <c r="X3" s="30"/>
      <c r="Y3" s="30"/>
      <c r="Z3" s="30"/>
      <c r="AA3" s="30"/>
      <c r="AB3" s="30"/>
      <c r="AC3" s="30"/>
      <c r="AD3" s="30"/>
      <c r="AE3" s="30"/>
      <c r="AF3" s="31"/>
      <c r="AG3" s="23"/>
      <c r="AH3" s="23"/>
    </row>
    <row r="4" spans="1:34" x14ac:dyDescent="0.25">
      <c r="A4" s="32">
        <v>1</v>
      </c>
      <c r="B4" s="287">
        <f>IF(ISBLANK(C4),0,B3+1)</f>
        <v>2</v>
      </c>
      <c r="C4" s="33" t="s">
        <v>48</v>
      </c>
      <c r="D4" s="34" t="s">
        <v>49</v>
      </c>
      <c r="E4" s="34" t="s">
        <v>50</v>
      </c>
      <c r="F4" s="34" t="s">
        <v>51</v>
      </c>
      <c r="G4" s="35" t="s">
        <v>52</v>
      </c>
      <c r="H4" s="35">
        <v>30062</v>
      </c>
      <c r="I4" s="33" t="s">
        <v>53</v>
      </c>
      <c r="J4" s="37" t="s">
        <v>54</v>
      </c>
      <c r="K4" s="70">
        <v>157665</v>
      </c>
      <c r="L4" s="23"/>
      <c r="M4" s="300" t="s">
        <v>55</v>
      </c>
      <c r="N4" s="301"/>
      <c r="O4" s="301"/>
      <c r="P4" s="301"/>
      <c r="Q4" s="301"/>
      <c r="R4" s="301"/>
      <c r="S4" s="301"/>
      <c r="T4" s="301"/>
      <c r="U4" s="301"/>
      <c r="V4" s="301"/>
      <c r="W4" s="301"/>
      <c r="X4" s="301"/>
      <c r="Y4" s="301"/>
      <c r="Z4" s="301"/>
      <c r="AA4" s="301"/>
      <c r="AB4" s="301"/>
      <c r="AC4" s="301"/>
      <c r="AD4" s="301"/>
      <c r="AE4" s="301"/>
      <c r="AF4" s="302"/>
      <c r="AG4" s="23"/>
      <c r="AH4" s="23"/>
    </row>
    <row r="5" spans="1:34" x14ac:dyDescent="0.25">
      <c r="A5" s="32">
        <v>2</v>
      </c>
      <c r="B5" s="287">
        <f t="shared" ref="B5:B28" si="1">IF(ISBLANK(C5),0,B4+1)</f>
        <v>3</v>
      </c>
      <c r="C5" s="39" t="s">
        <v>56</v>
      </c>
      <c r="D5" s="39" t="s">
        <v>57</v>
      </c>
      <c r="E5" s="39" t="s">
        <v>58</v>
      </c>
      <c r="F5" s="39" t="s">
        <v>51</v>
      </c>
      <c r="G5" s="40" t="s">
        <v>52</v>
      </c>
      <c r="H5" s="40">
        <v>30063</v>
      </c>
      <c r="I5" s="42" t="s">
        <v>59</v>
      </c>
      <c r="J5" s="43" t="s">
        <v>60</v>
      </c>
      <c r="K5" s="71">
        <v>156340</v>
      </c>
      <c r="L5" s="23"/>
      <c r="M5" s="45"/>
      <c r="N5" s="46"/>
      <c r="O5" s="46"/>
      <c r="P5" s="46"/>
      <c r="Q5" s="46"/>
      <c r="R5" s="46"/>
      <c r="S5" s="46"/>
      <c r="T5" s="46"/>
      <c r="U5" s="46"/>
      <c r="V5" s="46"/>
      <c r="W5" s="46"/>
      <c r="X5" s="46"/>
      <c r="Y5" s="46"/>
      <c r="Z5" s="46"/>
      <c r="AA5" s="46"/>
      <c r="AB5" s="46"/>
      <c r="AC5" s="46"/>
      <c r="AD5" s="46"/>
      <c r="AE5" s="46"/>
      <c r="AF5" s="47"/>
      <c r="AG5" s="23"/>
      <c r="AH5" s="23"/>
    </row>
    <row r="6" spans="1:34" x14ac:dyDescent="0.25">
      <c r="A6" s="32">
        <v>3</v>
      </c>
      <c r="B6" s="287">
        <f t="shared" si="1"/>
        <v>4</v>
      </c>
      <c r="C6" s="39" t="s">
        <v>61</v>
      </c>
      <c r="D6" s="42" t="s">
        <v>62</v>
      </c>
      <c r="E6" s="39" t="s">
        <v>63</v>
      </c>
      <c r="F6" s="39" t="s">
        <v>51</v>
      </c>
      <c r="G6" s="40" t="s">
        <v>52</v>
      </c>
      <c r="H6" s="40">
        <v>30064</v>
      </c>
      <c r="I6" s="42" t="s">
        <v>64</v>
      </c>
      <c r="J6" s="43" t="s">
        <v>65</v>
      </c>
      <c r="K6" s="71">
        <v>81480</v>
      </c>
      <c r="L6" s="23"/>
      <c r="M6" s="45"/>
      <c r="N6" s="48" t="s">
        <v>39</v>
      </c>
      <c r="O6" s="46"/>
      <c r="P6" s="46"/>
      <c r="Q6" s="306" t="str">
        <f>VLOOKUP(MAX($B:$B),$B:$K,2,FALSE)</f>
        <v>Test3</v>
      </c>
      <c r="R6" s="314"/>
      <c r="S6" s="314"/>
      <c r="T6" s="314"/>
      <c r="U6" s="314"/>
      <c r="V6" s="315"/>
      <c r="W6" s="46"/>
      <c r="X6" s="52" t="s">
        <v>42</v>
      </c>
      <c r="Y6" s="46"/>
      <c r="Z6" s="306" t="str">
        <f>VLOOKUP(MAX($B:$B),$B:$K,5,FALSE)</f>
        <v>Test3</v>
      </c>
      <c r="AA6" s="314"/>
      <c r="AB6" s="314"/>
      <c r="AC6" s="314"/>
      <c r="AD6" s="314"/>
      <c r="AE6" s="315"/>
      <c r="AF6" s="47"/>
      <c r="AG6" s="23"/>
      <c r="AH6" s="23"/>
    </row>
    <row r="7" spans="1:34" x14ac:dyDescent="0.25">
      <c r="A7" s="32">
        <v>4</v>
      </c>
      <c r="B7" s="287">
        <f t="shared" si="1"/>
        <v>5</v>
      </c>
      <c r="C7" s="39" t="s">
        <v>66</v>
      </c>
      <c r="D7" s="42" t="s">
        <v>67</v>
      </c>
      <c r="E7" s="39" t="s">
        <v>68</v>
      </c>
      <c r="F7" s="39" t="s">
        <v>51</v>
      </c>
      <c r="G7" s="40" t="s">
        <v>52</v>
      </c>
      <c r="H7" s="40">
        <v>30065</v>
      </c>
      <c r="I7" s="42" t="s">
        <v>69</v>
      </c>
      <c r="J7" s="43" t="s">
        <v>54</v>
      </c>
      <c r="K7" s="71">
        <v>202578</v>
      </c>
      <c r="L7" s="23"/>
      <c r="M7" s="45"/>
      <c r="N7" s="46"/>
      <c r="O7" s="46"/>
      <c r="P7" s="46"/>
      <c r="Q7" s="46"/>
      <c r="R7" s="46"/>
      <c r="S7" s="46"/>
      <c r="T7" s="46"/>
      <c r="U7" s="46"/>
      <c r="V7" s="46"/>
      <c r="W7" s="46"/>
      <c r="X7" s="46"/>
      <c r="Y7" s="46"/>
      <c r="Z7" s="46"/>
      <c r="AA7" s="46"/>
      <c r="AB7" s="46"/>
      <c r="AC7" s="46"/>
      <c r="AD7" s="46"/>
      <c r="AE7" s="46"/>
      <c r="AF7" s="47"/>
      <c r="AG7" s="23"/>
      <c r="AH7" s="23"/>
    </row>
    <row r="8" spans="1:34" x14ac:dyDescent="0.25">
      <c r="A8" s="32">
        <v>5</v>
      </c>
      <c r="B8" s="287">
        <f t="shared" si="1"/>
        <v>6</v>
      </c>
      <c r="C8" s="42" t="s">
        <v>70</v>
      </c>
      <c r="D8" s="39" t="s">
        <v>71</v>
      </c>
      <c r="E8" s="39" t="s">
        <v>72</v>
      </c>
      <c r="F8" s="39" t="s">
        <v>51</v>
      </c>
      <c r="G8" s="40" t="s">
        <v>52</v>
      </c>
      <c r="H8" s="40">
        <v>30066</v>
      </c>
      <c r="I8" s="42" t="s">
        <v>73</v>
      </c>
      <c r="J8" s="43" t="s">
        <v>60</v>
      </c>
      <c r="K8" s="71">
        <v>177209</v>
      </c>
      <c r="L8" s="23"/>
      <c r="M8" s="45"/>
      <c r="N8" s="48" t="s">
        <v>40</v>
      </c>
      <c r="O8" s="46"/>
      <c r="P8" s="46"/>
      <c r="Q8" s="306" t="str">
        <f>VLOOKUP(MAX($B:$B),$B:$K,3,FALSE)</f>
        <v>Test3</v>
      </c>
      <c r="R8" s="314"/>
      <c r="S8" s="314"/>
      <c r="T8" s="314"/>
      <c r="U8" s="314"/>
      <c r="V8" s="315"/>
      <c r="W8" s="46"/>
      <c r="X8" s="52" t="s">
        <v>43</v>
      </c>
      <c r="Y8" s="46"/>
      <c r="Z8" s="306" t="str">
        <f>VLOOKUP(MAX($B:$B),$B:$K,6,FALSE)</f>
        <v>Test3</v>
      </c>
      <c r="AA8" s="314"/>
      <c r="AB8" s="314"/>
      <c r="AC8" s="314"/>
      <c r="AD8" s="314"/>
      <c r="AE8" s="315"/>
      <c r="AF8" s="47"/>
      <c r="AG8" s="23"/>
      <c r="AH8" s="23"/>
    </row>
    <row r="9" spans="1:34" x14ac:dyDescent="0.25">
      <c r="A9" s="32">
        <v>6</v>
      </c>
      <c r="B9" s="287">
        <f t="shared" si="1"/>
        <v>7</v>
      </c>
      <c r="C9" s="39" t="s">
        <v>74</v>
      </c>
      <c r="D9" s="39" t="s">
        <v>75</v>
      </c>
      <c r="E9" s="39" t="s">
        <v>76</v>
      </c>
      <c r="F9" s="39" t="s">
        <v>77</v>
      </c>
      <c r="G9" s="40" t="s">
        <v>52</v>
      </c>
      <c r="H9" s="40">
        <v>30092</v>
      </c>
      <c r="I9" s="42" t="s">
        <v>78</v>
      </c>
      <c r="J9" s="43" t="s">
        <v>65</v>
      </c>
      <c r="K9" s="71">
        <v>212254.23</v>
      </c>
      <c r="L9" s="23"/>
      <c r="M9" s="45"/>
      <c r="N9" s="46"/>
      <c r="O9" s="46"/>
      <c r="P9" s="46"/>
      <c r="Q9" s="46"/>
      <c r="R9" s="46"/>
      <c r="S9" s="46"/>
      <c r="T9" s="46"/>
      <c r="U9" s="46"/>
      <c r="V9" s="46"/>
      <c r="W9" s="46"/>
      <c r="X9" s="46"/>
      <c r="Y9" s="46"/>
      <c r="Z9" s="46"/>
      <c r="AA9" s="46"/>
      <c r="AB9" s="46"/>
      <c r="AC9" s="46"/>
      <c r="AD9" s="46"/>
      <c r="AE9" s="46"/>
      <c r="AF9" s="47"/>
      <c r="AG9" s="23"/>
      <c r="AH9" s="23"/>
    </row>
    <row r="10" spans="1:34" x14ac:dyDescent="0.25">
      <c r="A10" s="32">
        <v>7</v>
      </c>
      <c r="B10" s="287">
        <f t="shared" si="1"/>
        <v>8</v>
      </c>
      <c r="C10" s="39" t="s">
        <v>79</v>
      </c>
      <c r="D10" s="39" t="s">
        <v>80</v>
      </c>
      <c r="E10" s="39" t="s">
        <v>50</v>
      </c>
      <c r="F10" s="39" t="s">
        <v>81</v>
      </c>
      <c r="G10" s="40" t="s">
        <v>82</v>
      </c>
      <c r="H10" s="40">
        <v>30092</v>
      </c>
      <c r="I10" s="42" t="s">
        <v>53</v>
      </c>
      <c r="J10" s="43" t="s">
        <v>54</v>
      </c>
      <c r="K10" s="71">
        <v>124533.45</v>
      </c>
      <c r="L10" s="23"/>
      <c r="M10" s="45"/>
      <c r="N10" s="48" t="s">
        <v>41</v>
      </c>
      <c r="O10" s="46"/>
      <c r="P10" s="46"/>
      <c r="Q10" s="306" t="str">
        <f>VLOOKUP(MAX($B:$B),$B:$K,4,FALSE)</f>
        <v>Test3</v>
      </c>
      <c r="R10" s="314"/>
      <c r="S10" s="314"/>
      <c r="T10" s="314"/>
      <c r="U10" s="314"/>
      <c r="V10" s="315"/>
      <c r="W10" s="46"/>
      <c r="X10" s="52" t="s">
        <v>44</v>
      </c>
      <c r="Y10" s="46"/>
      <c r="Z10" s="306" t="str">
        <f>VLOOKUP(MAX($B:$B),$B:$K,7,FALSE)</f>
        <v>Test3</v>
      </c>
      <c r="AA10" s="314"/>
      <c r="AB10" s="314"/>
      <c r="AC10" s="314"/>
      <c r="AD10" s="314"/>
      <c r="AE10" s="315"/>
      <c r="AF10" s="47"/>
      <c r="AG10" s="23"/>
      <c r="AH10" s="23"/>
    </row>
    <row r="11" spans="1:34" x14ac:dyDescent="0.25">
      <c r="A11" s="32">
        <v>8</v>
      </c>
      <c r="B11" s="287">
        <f t="shared" si="1"/>
        <v>9</v>
      </c>
      <c r="C11" s="39" t="s">
        <v>428</v>
      </c>
      <c r="D11" s="39" t="s">
        <v>428</v>
      </c>
      <c r="E11" s="39" t="s">
        <v>428</v>
      </c>
      <c r="F11" s="39" t="s">
        <v>428</v>
      </c>
      <c r="G11" s="39" t="s">
        <v>428</v>
      </c>
      <c r="H11" s="39" t="s">
        <v>428</v>
      </c>
      <c r="I11" s="39" t="s">
        <v>428</v>
      </c>
      <c r="J11" s="39" t="s">
        <v>428</v>
      </c>
      <c r="K11" s="39" t="s">
        <v>428</v>
      </c>
      <c r="L11" s="23"/>
      <c r="M11" s="45"/>
      <c r="N11" s="46"/>
      <c r="O11" s="46"/>
      <c r="P11" s="46"/>
      <c r="Q11" s="46"/>
      <c r="R11" s="46"/>
      <c r="S11" s="46"/>
      <c r="T11" s="46"/>
      <c r="U11" s="46"/>
      <c r="V11" s="46"/>
      <c r="W11" s="46"/>
      <c r="X11" s="46"/>
      <c r="Y11" s="46"/>
      <c r="Z11" s="46"/>
      <c r="AA11" s="46"/>
      <c r="AB11" s="46"/>
      <c r="AC11" s="46"/>
      <c r="AD11" s="46"/>
      <c r="AE11" s="46"/>
      <c r="AF11" s="47"/>
      <c r="AG11" s="23"/>
      <c r="AH11" s="23"/>
    </row>
    <row r="12" spans="1:34" x14ac:dyDescent="0.25">
      <c r="A12" s="32">
        <v>9</v>
      </c>
      <c r="B12" s="287">
        <f t="shared" si="1"/>
        <v>10</v>
      </c>
      <c r="C12" s="39" t="s">
        <v>429</v>
      </c>
      <c r="D12" s="39" t="s">
        <v>429</v>
      </c>
      <c r="E12" s="39" t="s">
        <v>429</v>
      </c>
      <c r="F12" s="39" t="s">
        <v>429</v>
      </c>
      <c r="G12" s="39" t="s">
        <v>429</v>
      </c>
      <c r="H12" s="39" t="s">
        <v>429</v>
      </c>
      <c r="I12" s="39" t="s">
        <v>429</v>
      </c>
      <c r="J12" s="39" t="s">
        <v>429</v>
      </c>
      <c r="K12" s="39" t="s">
        <v>429</v>
      </c>
      <c r="L12" s="23"/>
      <c r="M12" s="45"/>
      <c r="N12" s="52" t="s">
        <v>45</v>
      </c>
      <c r="O12" s="46"/>
      <c r="P12" s="46"/>
      <c r="Q12" s="306" t="str">
        <f>VLOOKUP(MAX($B:$B),$B:$K,8,FALSE)</f>
        <v>Test3</v>
      </c>
      <c r="R12" s="314"/>
      <c r="S12" s="314"/>
      <c r="T12" s="314"/>
      <c r="U12" s="314"/>
      <c r="V12" s="315"/>
      <c r="W12" s="46"/>
      <c r="X12" s="60" t="s">
        <v>99</v>
      </c>
      <c r="Y12" s="46"/>
      <c r="Z12" s="306" t="str">
        <f>VLOOKUP(MAX($B:$B),$B:$K,9,FALSE)</f>
        <v>Test3</v>
      </c>
      <c r="AA12" s="314"/>
      <c r="AB12" s="314"/>
      <c r="AC12" s="314"/>
      <c r="AD12" s="314"/>
      <c r="AE12" s="315"/>
      <c r="AF12" s="47"/>
      <c r="AG12" s="23"/>
      <c r="AH12" s="23"/>
    </row>
    <row r="13" spans="1:34" x14ac:dyDescent="0.25">
      <c r="A13" s="32">
        <v>10</v>
      </c>
      <c r="B13" s="287">
        <f t="shared" si="1"/>
        <v>11</v>
      </c>
      <c r="C13" s="39" t="s">
        <v>430</v>
      </c>
      <c r="D13" s="39" t="s">
        <v>430</v>
      </c>
      <c r="E13" s="39" t="s">
        <v>430</v>
      </c>
      <c r="F13" s="39" t="s">
        <v>430</v>
      </c>
      <c r="G13" s="39" t="s">
        <v>430</v>
      </c>
      <c r="H13" s="39" t="s">
        <v>430</v>
      </c>
      <c r="I13" s="39" t="s">
        <v>430</v>
      </c>
      <c r="J13" s="39" t="s">
        <v>430</v>
      </c>
      <c r="K13" s="39" t="s">
        <v>430</v>
      </c>
      <c r="L13" s="23"/>
      <c r="M13" s="45"/>
      <c r="N13" s="46"/>
      <c r="O13" s="46"/>
      <c r="P13" s="46"/>
      <c r="Q13" s="46"/>
      <c r="R13" s="46"/>
      <c r="S13" s="46"/>
      <c r="T13" s="46"/>
      <c r="U13" s="46"/>
      <c r="V13" s="46"/>
      <c r="W13" s="46"/>
      <c r="X13" s="46"/>
      <c r="Y13" s="46"/>
      <c r="Z13" s="46"/>
      <c r="AA13" s="46"/>
      <c r="AB13" s="46"/>
      <c r="AC13" s="46"/>
      <c r="AD13" s="46"/>
      <c r="AE13" s="46"/>
      <c r="AF13" s="47"/>
      <c r="AG13" s="23"/>
      <c r="AH13" s="23"/>
    </row>
    <row r="14" spans="1:34" x14ac:dyDescent="0.25">
      <c r="A14" s="32">
        <v>11</v>
      </c>
      <c r="B14" s="287">
        <f t="shared" si="1"/>
        <v>0</v>
      </c>
      <c r="C14" s="39"/>
      <c r="D14" s="39"/>
      <c r="E14" s="39"/>
      <c r="F14" s="39"/>
      <c r="G14" s="39"/>
      <c r="H14" s="39"/>
      <c r="I14" s="39"/>
      <c r="J14" s="40"/>
      <c r="K14" s="39"/>
      <c r="L14" s="23"/>
      <c r="M14" s="45"/>
      <c r="N14" s="52" t="s">
        <v>90</v>
      </c>
      <c r="O14" s="46"/>
      <c r="P14" s="46"/>
      <c r="Q14" s="46"/>
      <c r="R14" s="46"/>
      <c r="S14" s="46"/>
      <c r="T14" s="46"/>
      <c r="U14" s="46"/>
      <c r="V14" s="46"/>
      <c r="W14" s="46"/>
      <c r="X14" s="46"/>
      <c r="Y14" s="46"/>
      <c r="Z14" s="306" t="str">
        <f>VLOOKUP(MAX($B:$B),$B:$K,10,FALSE)</f>
        <v>Test3</v>
      </c>
      <c r="AA14" s="314"/>
      <c r="AB14" s="314"/>
      <c r="AC14" s="314"/>
      <c r="AD14" s="314"/>
      <c r="AE14" s="315"/>
      <c r="AF14" s="47"/>
      <c r="AG14" s="23"/>
      <c r="AH14" s="23"/>
    </row>
    <row r="15" spans="1:34" x14ac:dyDescent="0.25">
      <c r="A15" s="32">
        <v>12</v>
      </c>
      <c r="B15" s="287">
        <f t="shared" si="1"/>
        <v>0</v>
      </c>
      <c r="C15" s="39"/>
      <c r="D15" s="39"/>
      <c r="E15" s="39"/>
      <c r="F15" s="39"/>
      <c r="G15" s="39"/>
      <c r="H15" s="39"/>
      <c r="I15" s="39"/>
      <c r="J15" s="40"/>
      <c r="K15" s="39"/>
      <c r="L15" s="23"/>
      <c r="M15" s="45"/>
      <c r="N15" s="46"/>
      <c r="O15" s="46"/>
      <c r="P15" s="46"/>
      <c r="Q15" s="46"/>
      <c r="R15" s="46"/>
      <c r="S15" s="46"/>
      <c r="T15" s="46"/>
      <c r="U15" s="46"/>
      <c r="V15" s="46"/>
      <c r="W15" s="46"/>
      <c r="X15" s="46"/>
      <c r="Y15" s="46"/>
      <c r="Z15" s="46"/>
      <c r="AA15" s="46"/>
      <c r="AB15" s="46"/>
      <c r="AC15" s="46"/>
      <c r="AD15" s="46"/>
      <c r="AE15" s="46"/>
      <c r="AF15" s="47"/>
      <c r="AG15" s="23"/>
      <c r="AH15" s="23"/>
    </row>
    <row r="16" spans="1:34" x14ac:dyDescent="0.25">
      <c r="A16" s="32">
        <v>13</v>
      </c>
      <c r="B16" s="287">
        <f t="shared" si="1"/>
        <v>0</v>
      </c>
      <c r="C16" s="39"/>
      <c r="D16" s="39"/>
      <c r="E16" s="39"/>
      <c r="F16" s="39"/>
      <c r="G16" s="39"/>
      <c r="H16" s="39"/>
      <c r="I16" s="39"/>
      <c r="J16" s="40"/>
      <c r="K16" s="39"/>
      <c r="L16" s="23"/>
      <c r="M16" s="303" t="s">
        <v>91</v>
      </c>
      <c r="N16" s="304"/>
      <c r="O16" s="304"/>
      <c r="P16" s="304"/>
      <c r="Q16" s="304"/>
      <c r="R16" s="304"/>
      <c r="S16" s="304"/>
      <c r="T16" s="304"/>
      <c r="U16" s="304"/>
      <c r="V16" s="304"/>
      <c r="W16" s="304"/>
      <c r="X16" s="304"/>
      <c r="Y16" s="304"/>
      <c r="Z16" s="304"/>
      <c r="AA16" s="304"/>
      <c r="AB16" s="304"/>
      <c r="AC16" s="304"/>
      <c r="AD16" s="304"/>
      <c r="AE16" s="304"/>
      <c r="AF16" s="305"/>
      <c r="AG16" s="23"/>
      <c r="AH16" s="23"/>
    </row>
    <row r="17" spans="1:34" ht="16.5" thickBot="1" x14ac:dyDescent="0.3">
      <c r="A17" s="32">
        <v>14</v>
      </c>
      <c r="B17" s="287">
        <f t="shared" si="1"/>
        <v>0</v>
      </c>
      <c r="C17" s="39"/>
      <c r="D17" s="39"/>
      <c r="E17" s="39"/>
      <c r="F17" s="39"/>
      <c r="G17" s="39"/>
      <c r="H17" s="39"/>
      <c r="I17" s="39"/>
      <c r="J17" s="40"/>
      <c r="K17" s="39"/>
      <c r="L17" s="23"/>
      <c r="M17" s="61"/>
      <c r="N17" s="62"/>
      <c r="O17" s="62"/>
      <c r="P17" s="62"/>
      <c r="Q17" s="62"/>
      <c r="R17" s="62"/>
      <c r="S17" s="62"/>
      <c r="T17" s="62"/>
      <c r="U17" s="62"/>
      <c r="V17" s="62"/>
      <c r="W17" s="62"/>
      <c r="X17" s="62"/>
      <c r="Y17" s="62"/>
      <c r="Z17" s="62"/>
      <c r="AA17" s="62"/>
      <c r="AB17" s="62"/>
      <c r="AC17" s="62"/>
      <c r="AD17" s="62"/>
      <c r="AE17" s="62"/>
      <c r="AF17" s="63"/>
      <c r="AG17" s="23"/>
      <c r="AH17" s="23"/>
    </row>
    <row r="18" spans="1:34" x14ac:dyDescent="0.25">
      <c r="A18" s="32">
        <v>15</v>
      </c>
      <c r="B18" s="287">
        <f t="shared" si="1"/>
        <v>0</v>
      </c>
      <c r="C18" s="39"/>
      <c r="D18" s="39"/>
      <c r="E18" s="39"/>
      <c r="F18" s="39"/>
      <c r="G18" s="39"/>
      <c r="H18" s="39"/>
      <c r="I18" s="39"/>
      <c r="J18" s="40"/>
      <c r="K18" s="39"/>
      <c r="L18" s="23"/>
      <c r="M18" s="23"/>
      <c r="N18" s="23"/>
      <c r="O18" s="23"/>
      <c r="P18" s="23"/>
      <c r="Q18" s="23"/>
      <c r="R18" s="23"/>
      <c r="S18" s="23"/>
      <c r="T18" s="23"/>
      <c r="U18" s="23"/>
      <c r="V18" s="23"/>
      <c r="W18" s="23"/>
      <c r="X18" s="23"/>
      <c r="Y18" s="23"/>
      <c r="Z18" s="23"/>
      <c r="AA18" s="23"/>
      <c r="AB18" s="23"/>
      <c r="AC18" s="23"/>
      <c r="AD18" s="23"/>
      <c r="AE18" s="23"/>
      <c r="AF18" s="23"/>
      <c r="AG18" s="23"/>
      <c r="AH18" s="23"/>
    </row>
    <row r="19" spans="1:34" x14ac:dyDescent="0.25">
      <c r="A19" s="32">
        <v>16</v>
      </c>
      <c r="B19" s="287">
        <f t="shared" si="1"/>
        <v>0</v>
      </c>
      <c r="C19" s="39"/>
      <c r="D19" s="39"/>
      <c r="E19" s="39"/>
      <c r="F19" s="39"/>
      <c r="G19" s="39"/>
      <c r="H19" s="39"/>
      <c r="I19" s="39"/>
      <c r="J19" s="40"/>
      <c r="K19" s="39"/>
      <c r="L19" s="23"/>
      <c r="M19" s="23"/>
      <c r="N19" s="23"/>
      <c r="O19" s="23"/>
      <c r="P19" s="23"/>
      <c r="Q19" s="23"/>
      <c r="R19" s="23"/>
      <c r="S19" s="23"/>
      <c r="T19" s="23"/>
      <c r="U19" s="23"/>
      <c r="V19" s="23"/>
      <c r="W19" s="23"/>
      <c r="X19" s="23"/>
      <c r="Y19" s="23"/>
      <c r="Z19" s="23"/>
      <c r="AA19" s="23"/>
      <c r="AB19" s="23"/>
      <c r="AC19" s="23"/>
      <c r="AD19" s="23"/>
      <c r="AE19" s="23"/>
      <c r="AF19" s="23"/>
      <c r="AG19" s="23"/>
      <c r="AH19" s="23"/>
    </row>
    <row r="20" spans="1:34" x14ac:dyDescent="0.25">
      <c r="A20" s="32">
        <v>17</v>
      </c>
      <c r="B20" s="287">
        <f t="shared" si="1"/>
        <v>0</v>
      </c>
      <c r="C20" s="39"/>
      <c r="D20" s="39"/>
      <c r="E20" s="39"/>
      <c r="F20" s="39"/>
      <c r="G20" s="39"/>
      <c r="H20" s="39"/>
      <c r="I20" s="39"/>
      <c r="J20" s="40"/>
      <c r="K20" s="39"/>
      <c r="L20" s="23"/>
      <c r="M20" s="23"/>
      <c r="N20" s="23"/>
      <c r="O20" s="23"/>
      <c r="P20" s="23"/>
      <c r="Q20" s="23"/>
      <c r="R20" s="23"/>
      <c r="S20" s="23"/>
      <c r="T20" s="23"/>
      <c r="U20" s="23"/>
      <c r="V20" s="23"/>
      <c r="W20" s="23"/>
      <c r="X20" s="23"/>
      <c r="Y20" s="23"/>
      <c r="Z20" s="23"/>
      <c r="AA20" s="23"/>
      <c r="AB20" s="23"/>
      <c r="AC20" s="23"/>
      <c r="AD20" s="23"/>
      <c r="AE20" s="23"/>
      <c r="AF20" s="23"/>
      <c r="AG20" s="23"/>
      <c r="AH20" s="23"/>
    </row>
    <row r="21" spans="1:34" x14ac:dyDescent="0.25">
      <c r="A21" s="32">
        <v>18</v>
      </c>
      <c r="B21" s="287">
        <f t="shared" si="1"/>
        <v>0</v>
      </c>
      <c r="C21" s="39"/>
      <c r="D21" s="39"/>
      <c r="E21" s="39"/>
      <c r="F21" s="39"/>
      <c r="G21" s="39"/>
      <c r="H21" s="39"/>
      <c r="I21" s="39"/>
      <c r="J21" s="40"/>
      <c r="K21" s="39"/>
      <c r="L21" s="23"/>
      <c r="M21" s="23"/>
      <c r="N21" s="23"/>
      <c r="O21" s="23"/>
      <c r="P21" s="23"/>
      <c r="Q21" s="23"/>
      <c r="R21" s="23"/>
      <c r="S21" s="23"/>
      <c r="T21" s="23"/>
      <c r="U21" s="23"/>
      <c r="V21" s="23"/>
      <c r="W21" s="23"/>
      <c r="X21" s="23"/>
      <c r="Y21" s="23"/>
      <c r="Z21" s="23"/>
      <c r="AA21" s="23"/>
      <c r="AB21" s="23"/>
      <c r="AC21" s="23"/>
      <c r="AD21" s="23"/>
      <c r="AE21" s="23"/>
      <c r="AF21" s="23"/>
      <c r="AG21" s="23"/>
      <c r="AH21" s="23"/>
    </row>
    <row r="22" spans="1:34" x14ac:dyDescent="0.25">
      <c r="A22" s="32">
        <v>19</v>
      </c>
      <c r="B22" s="287">
        <f t="shared" si="1"/>
        <v>0</v>
      </c>
      <c r="C22" s="39"/>
      <c r="D22" s="39"/>
      <c r="E22" s="39"/>
      <c r="F22" s="39"/>
      <c r="G22" s="39"/>
      <c r="H22" s="39"/>
      <c r="I22" s="39"/>
      <c r="J22" s="40"/>
      <c r="K22" s="39"/>
      <c r="L22" s="23"/>
      <c r="M22" s="23"/>
      <c r="N22" s="23"/>
      <c r="O22" s="23"/>
      <c r="P22" s="23"/>
      <c r="Q22" s="23"/>
      <c r="R22" s="23"/>
      <c r="S22" s="23"/>
      <c r="T22" s="23"/>
      <c r="U22" s="23"/>
      <c r="V22" s="23"/>
      <c r="W22" s="23"/>
      <c r="X22" s="23"/>
      <c r="Y22" s="23"/>
      <c r="Z22" s="23"/>
      <c r="AA22" s="23"/>
      <c r="AB22" s="23"/>
      <c r="AC22" s="23"/>
      <c r="AD22" s="23"/>
      <c r="AE22" s="23"/>
      <c r="AF22" s="23"/>
      <c r="AG22" s="23"/>
      <c r="AH22" s="23"/>
    </row>
    <row r="23" spans="1:34" x14ac:dyDescent="0.25">
      <c r="A23" s="32">
        <v>20</v>
      </c>
      <c r="B23" s="287">
        <f t="shared" si="1"/>
        <v>0</v>
      </c>
      <c r="C23" s="39"/>
      <c r="D23" s="39"/>
      <c r="E23" s="39"/>
      <c r="F23" s="39"/>
      <c r="G23" s="39"/>
      <c r="H23" s="39"/>
      <c r="I23" s="39"/>
      <c r="J23" s="40"/>
      <c r="K23" s="39"/>
      <c r="L23" s="23"/>
      <c r="M23" s="23"/>
      <c r="N23" s="23"/>
      <c r="O23" s="23"/>
      <c r="P23" s="23"/>
      <c r="Q23" s="23"/>
      <c r="R23" s="23"/>
      <c r="S23" s="23"/>
      <c r="T23" s="23"/>
      <c r="U23" s="23"/>
      <c r="V23" s="23"/>
      <c r="W23" s="23"/>
      <c r="X23" s="23"/>
      <c r="Y23" s="23"/>
      <c r="Z23" s="23"/>
      <c r="AA23" s="23"/>
      <c r="AB23" s="23"/>
      <c r="AC23" s="23"/>
      <c r="AD23" s="23"/>
      <c r="AE23" s="23"/>
      <c r="AF23" s="23"/>
      <c r="AG23" s="23"/>
      <c r="AH23" s="23"/>
    </row>
    <row r="24" spans="1:34" x14ac:dyDescent="0.25">
      <c r="A24" s="32">
        <v>21</v>
      </c>
      <c r="B24" s="287">
        <f t="shared" si="1"/>
        <v>0</v>
      </c>
      <c r="C24" s="39"/>
      <c r="D24" s="39"/>
      <c r="E24" s="39"/>
      <c r="F24" s="39"/>
      <c r="G24" s="39"/>
      <c r="H24" s="39"/>
      <c r="I24" s="39"/>
      <c r="J24" s="40"/>
      <c r="K24" s="39"/>
      <c r="L24" s="23"/>
      <c r="M24" s="23"/>
      <c r="N24" s="23"/>
      <c r="O24" s="23"/>
      <c r="P24" s="23"/>
      <c r="Q24" s="23"/>
      <c r="R24" s="23"/>
      <c r="S24" s="23"/>
      <c r="T24" s="23"/>
      <c r="U24" s="23"/>
      <c r="V24" s="23"/>
      <c r="W24" s="23"/>
      <c r="X24" s="23"/>
      <c r="Y24" s="23"/>
      <c r="Z24" s="23"/>
      <c r="AA24" s="23"/>
      <c r="AB24" s="23"/>
      <c r="AC24" s="23"/>
      <c r="AD24" s="23"/>
      <c r="AE24" s="23"/>
      <c r="AF24" s="23"/>
      <c r="AG24" s="23"/>
      <c r="AH24" s="23"/>
    </row>
    <row r="25" spans="1:34" x14ac:dyDescent="0.25">
      <c r="A25" s="32">
        <v>22</v>
      </c>
      <c r="B25" s="287">
        <f t="shared" si="1"/>
        <v>0</v>
      </c>
      <c r="C25" s="39"/>
      <c r="D25" s="39"/>
      <c r="E25" s="39"/>
      <c r="F25" s="39"/>
      <c r="G25" s="39"/>
      <c r="H25" s="39"/>
      <c r="I25" s="39"/>
      <c r="J25" s="40"/>
      <c r="K25" s="39"/>
      <c r="L25" s="23"/>
      <c r="M25" s="23"/>
      <c r="N25" s="23"/>
      <c r="O25" s="23"/>
      <c r="P25" s="23"/>
      <c r="Q25" s="23"/>
      <c r="R25" s="23"/>
      <c r="S25" s="23"/>
      <c r="T25" s="23"/>
      <c r="U25" s="23"/>
      <c r="V25" s="23"/>
      <c r="W25" s="23"/>
      <c r="X25" s="23"/>
      <c r="Y25" s="23"/>
      <c r="Z25" s="23"/>
      <c r="AA25" s="23"/>
      <c r="AB25" s="23"/>
      <c r="AC25" s="23"/>
      <c r="AD25" s="23"/>
      <c r="AE25" s="23"/>
      <c r="AF25" s="23"/>
      <c r="AG25" s="23"/>
      <c r="AH25" s="23"/>
    </row>
    <row r="26" spans="1:34" x14ac:dyDescent="0.25">
      <c r="A26" s="32">
        <v>23</v>
      </c>
      <c r="B26" s="287">
        <f t="shared" si="1"/>
        <v>0</v>
      </c>
      <c r="C26" s="39"/>
      <c r="D26" s="39"/>
      <c r="E26" s="39"/>
      <c r="F26" s="39"/>
      <c r="G26" s="39"/>
      <c r="H26" s="39"/>
      <c r="I26" s="39"/>
      <c r="J26" s="40"/>
      <c r="K26" s="39"/>
      <c r="L26" s="23"/>
      <c r="M26" s="23"/>
      <c r="N26" s="23"/>
      <c r="O26" s="23"/>
      <c r="P26" s="23"/>
      <c r="Q26" s="23"/>
      <c r="R26" s="23"/>
      <c r="S26" s="23"/>
      <c r="T26" s="23"/>
      <c r="U26" s="23"/>
      <c r="V26" s="23"/>
      <c r="W26" s="23"/>
      <c r="X26" s="23"/>
      <c r="Y26" s="23"/>
      <c r="Z26" s="23"/>
      <c r="AA26" s="23"/>
      <c r="AB26" s="23"/>
      <c r="AC26" s="23"/>
      <c r="AD26" s="23"/>
      <c r="AE26" s="23"/>
      <c r="AF26" s="23"/>
      <c r="AG26" s="23"/>
      <c r="AH26" s="23"/>
    </row>
    <row r="27" spans="1:34" x14ac:dyDescent="0.25">
      <c r="A27" s="32">
        <v>24</v>
      </c>
      <c r="B27" s="287">
        <f t="shared" si="1"/>
        <v>0</v>
      </c>
      <c r="C27" s="39"/>
      <c r="D27" s="39"/>
      <c r="E27" s="39"/>
      <c r="F27" s="39"/>
      <c r="G27" s="39"/>
      <c r="H27" s="39"/>
      <c r="I27" s="39"/>
      <c r="J27" s="40"/>
      <c r="K27" s="39"/>
      <c r="L27" s="23"/>
      <c r="M27" s="23"/>
      <c r="N27" s="23"/>
      <c r="O27" s="23"/>
      <c r="P27" s="23"/>
      <c r="Q27" s="23"/>
      <c r="R27" s="23"/>
      <c r="S27" s="23"/>
      <c r="T27" s="23"/>
      <c r="U27" s="23"/>
      <c r="V27" s="23"/>
      <c r="W27" s="23"/>
      <c r="X27" s="23"/>
      <c r="Y27" s="23"/>
      <c r="Z27" s="23"/>
      <c r="AA27" s="23"/>
      <c r="AB27" s="23"/>
      <c r="AC27" s="23"/>
      <c r="AD27" s="23"/>
      <c r="AE27" s="23"/>
      <c r="AF27" s="23"/>
      <c r="AG27" s="23"/>
      <c r="AH27" s="23"/>
    </row>
    <row r="28" spans="1:34" x14ac:dyDescent="0.25">
      <c r="A28" s="32">
        <v>25</v>
      </c>
      <c r="B28" s="287">
        <f t="shared" si="1"/>
        <v>0</v>
      </c>
      <c r="C28" s="39"/>
      <c r="D28" s="39"/>
      <c r="E28" s="39"/>
      <c r="F28" s="39"/>
      <c r="G28" s="39"/>
      <c r="H28" s="39"/>
      <c r="I28" s="39"/>
      <c r="J28" s="40"/>
      <c r="K28" s="39"/>
      <c r="L28" s="23"/>
      <c r="M28" s="23"/>
      <c r="N28" s="23"/>
      <c r="O28" s="23"/>
      <c r="P28" s="23"/>
      <c r="Q28" s="23"/>
      <c r="R28" s="23"/>
      <c r="S28" s="23"/>
      <c r="T28" s="23"/>
      <c r="U28" s="23"/>
      <c r="V28" s="23"/>
      <c r="W28" s="23"/>
      <c r="X28" s="23"/>
      <c r="Y28" s="23"/>
      <c r="Z28" s="23"/>
      <c r="AA28" s="23"/>
      <c r="AB28" s="23"/>
      <c r="AC28" s="23"/>
      <c r="AD28" s="23"/>
      <c r="AE28" s="23"/>
      <c r="AF28" s="23"/>
      <c r="AG28" s="23"/>
      <c r="AH28" s="23"/>
    </row>
  </sheetData>
  <mergeCells count="11">
    <mergeCell ref="Q12:V12"/>
    <mergeCell ref="Z12:AE12"/>
    <mergeCell ref="Z14:AE14"/>
    <mergeCell ref="M16:AF16"/>
    <mergeCell ref="M4:AF4"/>
    <mergeCell ref="Q6:V6"/>
    <mergeCell ref="Z6:AE6"/>
    <mergeCell ref="Q8:V8"/>
    <mergeCell ref="Z8:AE8"/>
    <mergeCell ref="Q10:V10"/>
    <mergeCell ref="Z10:AE10"/>
  </mergeCells>
  <pageMargins left="0.7" right="0.7" top="0.75" bottom="0.75" header="0.3" footer="0.3"/>
  <drawing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29"/>
  <sheetViews>
    <sheetView showGridLines="0" workbookViewId="0">
      <selection activeCell="Q1" sqref="Q1"/>
    </sheetView>
  </sheetViews>
  <sheetFormatPr defaultRowHeight="15.75" x14ac:dyDescent="0.25"/>
  <cols>
    <col min="1" max="1" width="7.875" bestFit="1" customWidth="1"/>
    <col min="2" max="3" width="10" bestFit="1" customWidth="1"/>
    <col min="4" max="4" width="19" bestFit="1" customWidth="1"/>
    <col min="5" max="5" width="8.375" bestFit="1" customWidth="1"/>
    <col min="6" max="6" width="5.375" bestFit="1" customWidth="1"/>
    <col min="7" max="7" width="5.875" bestFit="1" customWidth="1"/>
    <col min="8" max="8" width="11.875" bestFit="1" customWidth="1"/>
    <col min="9" max="9" width="11.875" customWidth="1"/>
    <col min="10" max="10" width="13.75" bestFit="1" customWidth="1"/>
    <col min="11" max="11" width="3.75" customWidth="1"/>
    <col min="12" max="12" width="7.875" bestFit="1" customWidth="1"/>
    <col min="13" max="31" width="3.625" customWidth="1"/>
    <col min="32" max="32" width="3" customWidth="1"/>
  </cols>
  <sheetData>
    <row r="1" spans="1:33" x14ac:dyDescent="0.25">
      <c r="A1" s="16"/>
      <c r="B1" s="16"/>
      <c r="C1" s="16"/>
      <c r="D1" s="16"/>
      <c r="E1" s="16"/>
      <c r="F1" s="16"/>
      <c r="G1" s="16"/>
      <c r="H1" s="16"/>
      <c r="I1" s="16"/>
      <c r="J1" s="16"/>
      <c r="K1" s="16"/>
      <c r="L1" s="16"/>
      <c r="M1" s="16"/>
      <c r="N1" s="16"/>
      <c r="O1" s="16"/>
      <c r="P1" s="16"/>
      <c r="Q1" s="16"/>
      <c r="R1" s="16"/>
      <c r="S1" s="17">
        <f t="shared" ref="S1:AB1" si="0">VLOOKUP(MAX($A$3:$A$147),$A$3:$H$147,2)</f>
        <v>0</v>
      </c>
      <c r="T1" s="17">
        <f t="shared" si="0"/>
        <v>0</v>
      </c>
      <c r="U1" s="17">
        <f t="shared" si="0"/>
        <v>0</v>
      </c>
      <c r="V1" s="17">
        <f t="shared" si="0"/>
        <v>0</v>
      </c>
      <c r="W1" s="17">
        <f t="shared" si="0"/>
        <v>0</v>
      </c>
      <c r="X1" s="17">
        <f t="shared" si="0"/>
        <v>0</v>
      </c>
      <c r="Y1" s="17">
        <f t="shared" si="0"/>
        <v>0</v>
      </c>
      <c r="Z1" s="17">
        <f t="shared" si="0"/>
        <v>0</v>
      </c>
      <c r="AA1" s="17">
        <f t="shared" si="0"/>
        <v>0</v>
      </c>
      <c r="AB1" s="17">
        <f t="shared" si="0"/>
        <v>0</v>
      </c>
      <c r="AC1" s="18"/>
      <c r="AD1" s="18"/>
      <c r="AE1" s="18"/>
      <c r="AF1" s="18"/>
      <c r="AG1" s="18"/>
    </row>
    <row r="2" spans="1:33" ht="16.5" thickBot="1" x14ac:dyDescent="0.3">
      <c r="A2" s="73"/>
      <c r="B2" s="20"/>
      <c r="C2" s="20"/>
      <c r="D2" s="20"/>
      <c r="E2" s="20"/>
      <c r="F2" s="20"/>
      <c r="G2" s="20"/>
      <c r="H2" s="20"/>
      <c r="I2" s="22"/>
      <c r="J2" s="20"/>
      <c r="K2" s="23"/>
      <c r="L2" s="288">
        <f>MATCH("",B3:B104,-1)</f>
        <v>9</v>
      </c>
      <c r="M2" s="23" t="s">
        <v>431</v>
      </c>
      <c r="N2" s="23"/>
      <c r="O2" s="23"/>
      <c r="P2" s="23"/>
      <c r="Q2" s="23"/>
      <c r="R2" s="23"/>
      <c r="S2" s="23"/>
      <c r="T2" s="23"/>
      <c r="U2" s="23"/>
      <c r="V2" s="23"/>
      <c r="W2" s="23"/>
      <c r="X2" s="23"/>
      <c r="Y2" s="23"/>
      <c r="Z2" s="23"/>
      <c r="AA2" s="23"/>
      <c r="AB2" s="23"/>
      <c r="AC2" s="23"/>
      <c r="AD2" s="23"/>
      <c r="AE2" s="23"/>
      <c r="AF2" s="23"/>
      <c r="AG2" s="23"/>
    </row>
    <row r="3" spans="1:33" x14ac:dyDescent="0.25">
      <c r="A3" s="68" t="s">
        <v>38</v>
      </c>
      <c r="B3" s="69" t="s">
        <v>39</v>
      </c>
      <c r="C3" s="69" t="s">
        <v>40</v>
      </c>
      <c r="D3" s="69" t="s">
        <v>41</v>
      </c>
      <c r="E3" s="68" t="s">
        <v>42</v>
      </c>
      <c r="F3" s="68" t="s">
        <v>43</v>
      </c>
      <c r="G3" s="68" t="s">
        <v>44</v>
      </c>
      <c r="H3" s="68" t="s">
        <v>45</v>
      </c>
      <c r="I3" s="68" t="s">
        <v>46</v>
      </c>
      <c r="J3" s="68" t="s">
        <v>47</v>
      </c>
      <c r="K3" s="23"/>
      <c r="L3" s="29"/>
      <c r="M3" s="30"/>
      <c r="N3" s="30"/>
      <c r="O3" s="30"/>
      <c r="P3" s="30"/>
      <c r="Q3" s="30"/>
      <c r="R3" s="30"/>
      <c r="S3" s="30"/>
      <c r="T3" s="30"/>
      <c r="U3" s="30"/>
      <c r="V3" s="30"/>
      <c r="W3" s="30"/>
      <c r="X3" s="30"/>
      <c r="Y3" s="30"/>
      <c r="Z3" s="30"/>
      <c r="AA3" s="30"/>
      <c r="AB3" s="30"/>
      <c r="AC3" s="30"/>
      <c r="AD3" s="30"/>
      <c r="AE3" s="31"/>
      <c r="AF3" s="23"/>
      <c r="AG3" s="23"/>
    </row>
    <row r="4" spans="1:33" x14ac:dyDescent="0.25">
      <c r="A4" s="32">
        <v>1</v>
      </c>
      <c r="B4" s="33" t="s">
        <v>48</v>
      </c>
      <c r="C4" s="34" t="s">
        <v>49</v>
      </c>
      <c r="D4" s="34" t="s">
        <v>50</v>
      </c>
      <c r="E4" s="34" t="s">
        <v>51</v>
      </c>
      <c r="F4" s="35" t="s">
        <v>52</v>
      </c>
      <c r="G4" s="35">
        <v>30062</v>
      </c>
      <c r="H4" s="33" t="s">
        <v>53</v>
      </c>
      <c r="I4" s="37" t="s">
        <v>54</v>
      </c>
      <c r="J4" s="70">
        <v>157665</v>
      </c>
      <c r="K4" s="23"/>
      <c r="L4" s="300" t="s">
        <v>55</v>
      </c>
      <c r="M4" s="301"/>
      <c r="N4" s="301"/>
      <c r="O4" s="301"/>
      <c r="P4" s="301"/>
      <c r="Q4" s="301"/>
      <c r="R4" s="301"/>
      <c r="S4" s="301"/>
      <c r="T4" s="301"/>
      <c r="U4" s="301"/>
      <c r="V4" s="301"/>
      <c r="W4" s="301"/>
      <c r="X4" s="301"/>
      <c r="Y4" s="301"/>
      <c r="Z4" s="301"/>
      <c r="AA4" s="301"/>
      <c r="AB4" s="301"/>
      <c r="AC4" s="301"/>
      <c r="AD4" s="301"/>
      <c r="AE4" s="302"/>
      <c r="AF4" s="23"/>
      <c r="AG4" s="23"/>
    </row>
    <row r="5" spans="1:33" x14ac:dyDescent="0.25">
      <c r="A5" s="32">
        <v>2</v>
      </c>
      <c r="B5" s="39" t="s">
        <v>56</v>
      </c>
      <c r="C5" s="39" t="s">
        <v>57</v>
      </c>
      <c r="D5" s="39" t="s">
        <v>58</v>
      </c>
      <c r="E5" s="39" t="s">
        <v>51</v>
      </c>
      <c r="F5" s="40" t="s">
        <v>52</v>
      </c>
      <c r="G5" s="40">
        <v>30063</v>
      </c>
      <c r="H5" s="42" t="s">
        <v>59</v>
      </c>
      <c r="I5" s="43" t="s">
        <v>60</v>
      </c>
      <c r="J5" s="71">
        <v>156340</v>
      </c>
      <c r="K5" s="23"/>
      <c r="L5" s="45"/>
      <c r="M5" s="46"/>
      <c r="N5" s="46"/>
      <c r="O5" s="46"/>
      <c r="P5" s="46"/>
      <c r="Q5" s="46"/>
      <c r="R5" s="46"/>
      <c r="S5" s="46"/>
      <c r="T5" s="46"/>
      <c r="U5" s="46"/>
      <c r="V5" s="46"/>
      <c r="W5" s="46"/>
      <c r="X5" s="46"/>
      <c r="Y5" s="46"/>
      <c r="Z5" s="46"/>
      <c r="AA5" s="46"/>
      <c r="AB5" s="46"/>
      <c r="AC5" s="46"/>
      <c r="AD5" s="46"/>
      <c r="AE5" s="47"/>
      <c r="AF5" s="23"/>
      <c r="AG5" s="23"/>
    </row>
    <row r="6" spans="1:33" x14ac:dyDescent="0.25">
      <c r="A6" s="32">
        <v>3</v>
      </c>
      <c r="B6" s="39" t="s">
        <v>61</v>
      </c>
      <c r="C6" s="42" t="s">
        <v>62</v>
      </c>
      <c r="D6" s="39" t="s">
        <v>63</v>
      </c>
      <c r="E6" s="39" t="s">
        <v>51</v>
      </c>
      <c r="F6" s="40" t="s">
        <v>52</v>
      </c>
      <c r="G6" s="40">
        <v>30064</v>
      </c>
      <c r="H6" s="42" t="s">
        <v>64</v>
      </c>
      <c r="I6" s="43" t="s">
        <v>65</v>
      </c>
      <c r="J6" s="71">
        <v>81480</v>
      </c>
      <c r="K6" s="23"/>
      <c r="L6" s="45"/>
      <c r="M6" s="48" t="s">
        <v>39</v>
      </c>
      <c r="N6" s="46"/>
      <c r="O6" s="46"/>
      <c r="P6" s="49" t="str">
        <f>HLOOKUP(M6,$B$3:$J$104,$L$2,FALSE)</f>
        <v>Cline</v>
      </c>
      <c r="Q6" s="50"/>
      <c r="R6" s="50"/>
      <c r="S6" s="50"/>
      <c r="T6" s="50"/>
      <c r="U6" s="51"/>
      <c r="V6" s="46"/>
      <c r="W6" s="52" t="s">
        <v>42</v>
      </c>
      <c r="X6" s="46"/>
      <c r="Y6" s="49" t="str">
        <f>HLOOKUP(W6,$B$3:$J$104,$L$2,FALSE)</f>
        <v>Seattle</v>
      </c>
      <c r="Z6" s="50"/>
      <c r="AA6" s="50"/>
      <c r="AB6" s="50"/>
      <c r="AC6" s="50"/>
      <c r="AD6" s="51"/>
      <c r="AE6" s="47"/>
      <c r="AF6" s="23"/>
      <c r="AG6" s="23"/>
    </row>
    <row r="7" spans="1:33" x14ac:dyDescent="0.25">
      <c r="A7" s="32">
        <v>4</v>
      </c>
      <c r="B7" s="39" t="s">
        <v>66</v>
      </c>
      <c r="C7" s="42" t="s">
        <v>67</v>
      </c>
      <c r="D7" s="39" t="s">
        <v>68</v>
      </c>
      <c r="E7" s="39" t="s">
        <v>51</v>
      </c>
      <c r="F7" s="40" t="s">
        <v>52</v>
      </c>
      <c r="G7" s="40">
        <v>30065</v>
      </c>
      <c r="H7" s="42" t="s">
        <v>69</v>
      </c>
      <c r="I7" s="43" t="s">
        <v>54</v>
      </c>
      <c r="J7" s="71">
        <v>202578</v>
      </c>
      <c r="K7" s="23"/>
      <c r="L7" s="45"/>
      <c r="M7" s="46"/>
      <c r="N7" s="46"/>
      <c r="O7" s="46"/>
      <c r="P7" s="46"/>
      <c r="Q7" s="46"/>
      <c r="R7" s="46"/>
      <c r="S7" s="46"/>
      <c r="T7" s="46"/>
      <c r="U7" s="46"/>
      <c r="V7" s="46"/>
      <c r="W7" s="46"/>
      <c r="X7" s="46"/>
      <c r="Y7" s="46"/>
      <c r="Z7" s="46"/>
      <c r="AA7" s="46"/>
      <c r="AB7" s="46"/>
      <c r="AC7" s="46"/>
      <c r="AD7" s="46"/>
      <c r="AE7" s="47"/>
      <c r="AF7" s="23"/>
      <c r="AG7" s="23"/>
    </row>
    <row r="8" spans="1:33" x14ac:dyDescent="0.25">
      <c r="A8" s="32">
        <v>5</v>
      </c>
      <c r="B8" s="42" t="s">
        <v>70</v>
      </c>
      <c r="C8" s="39" t="s">
        <v>71</v>
      </c>
      <c r="D8" s="39" t="s">
        <v>72</v>
      </c>
      <c r="E8" s="39" t="s">
        <v>51</v>
      </c>
      <c r="F8" s="40" t="s">
        <v>52</v>
      </c>
      <c r="G8" s="40">
        <v>30066</v>
      </c>
      <c r="H8" s="42" t="s">
        <v>73</v>
      </c>
      <c r="I8" s="43" t="s">
        <v>60</v>
      </c>
      <c r="J8" s="71">
        <v>177209</v>
      </c>
      <c r="K8" s="23"/>
      <c r="L8" s="45"/>
      <c r="M8" s="48" t="s">
        <v>40</v>
      </c>
      <c r="N8" s="46"/>
      <c r="O8" s="46"/>
      <c r="P8" s="49" t="str">
        <f>HLOOKUP(M8,$B$3:$J$104,$L$2,FALSE)</f>
        <v>Jesse</v>
      </c>
      <c r="Q8" s="50"/>
      <c r="R8" s="50"/>
      <c r="S8" s="50"/>
      <c r="T8" s="50"/>
      <c r="U8" s="51"/>
      <c r="V8" s="46"/>
      <c r="W8" s="52" t="s">
        <v>43</v>
      </c>
      <c r="X8" s="46"/>
      <c r="Y8" s="49" t="str">
        <f>HLOOKUP(W8,$B$3:$J$104,$L$2,FALSE)</f>
        <v>WA</v>
      </c>
      <c r="Z8" s="50"/>
      <c r="AA8" s="50"/>
      <c r="AB8" s="50"/>
      <c r="AC8" s="50"/>
      <c r="AD8" s="51"/>
      <c r="AE8" s="47"/>
      <c r="AF8" s="23"/>
      <c r="AG8" s="23"/>
    </row>
    <row r="9" spans="1:33" x14ac:dyDescent="0.25">
      <c r="A9" s="32">
        <v>6</v>
      </c>
      <c r="B9" s="39" t="s">
        <v>74</v>
      </c>
      <c r="C9" s="39" t="s">
        <v>75</v>
      </c>
      <c r="D9" s="39" t="s">
        <v>76</v>
      </c>
      <c r="E9" s="39" t="s">
        <v>77</v>
      </c>
      <c r="F9" s="40" t="s">
        <v>52</v>
      </c>
      <c r="G9" s="40">
        <v>30092</v>
      </c>
      <c r="H9" s="42" t="s">
        <v>78</v>
      </c>
      <c r="I9" s="43" t="s">
        <v>65</v>
      </c>
      <c r="J9" s="71">
        <v>212254.23</v>
      </c>
      <c r="K9" s="23"/>
      <c r="L9" s="45"/>
      <c r="M9" s="46"/>
      <c r="N9" s="46"/>
      <c r="O9" s="46"/>
      <c r="P9" s="46"/>
      <c r="Q9" s="46"/>
      <c r="R9" s="46"/>
      <c r="S9" s="46"/>
      <c r="T9" s="46"/>
      <c r="U9" s="46"/>
      <c r="V9" s="46"/>
      <c r="W9" s="46"/>
      <c r="X9" s="46"/>
      <c r="Y9" s="46"/>
      <c r="Z9" s="46"/>
      <c r="AA9" s="46"/>
      <c r="AB9" s="46"/>
      <c r="AC9" s="46"/>
      <c r="AD9" s="46"/>
      <c r="AE9" s="47"/>
      <c r="AF9" s="23"/>
      <c r="AG9" s="23"/>
    </row>
    <row r="10" spans="1:33" x14ac:dyDescent="0.25">
      <c r="A10" s="32">
        <v>7</v>
      </c>
      <c r="B10" s="39" t="s">
        <v>79</v>
      </c>
      <c r="C10" s="39" t="s">
        <v>80</v>
      </c>
      <c r="D10" s="39" t="s">
        <v>50</v>
      </c>
      <c r="E10" s="39" t="s">
        <v>81</v>
      </c>
      <c r="F10" s="40" t="s">
        <v>82</v>
      </c>
      <c r="G10" s="40">
        <v>30092</v>
      </c>
      <c r="H10" s="42" t="s">
        <v>53</v>
      </c>
      <c r="I10" s="43" t="s">
        <v>54</v>
      </c>
      <c r="J10" s="71">
        <v>124533.45</v>
      </c>
      <c r="K10" s="23"/>
      <c r="L10" s="45"/>
      <c r="M10" s="48" t="s">
        <v>41</v>
      </c>
      <c r="N10" s="46"/>
      <c r="O10" s="46"/>
      <c r="P10" s="49" t="str">
        <f>HLOOKUP(M10,$B$3:$J$104,$L$2,FALSE)</f>
        <v>1601 Fifth Ave</v>
      </c>
      <c r="Q10" s="50"/>
      <c r="R10" s="50"/>
      <c r="S10" s="50"/>
      <c r="T10" s="50"/>
      <c r="U10" s="51"/>
      <c r="V10" s="46"/>
      <c r="W10" s="52" t="s">
        <v>44</v>
      </c>
      <c r="X10" s="46"/>
      <c r="Y10" s="306">
        <f>HLOOKUP(W10,$B$3:$J$104,$L$2,FALSE)</f>
        <v>98110</v>
      </c>
      <c r="Z10" s="314"/>
      <c r="AA10" s="314"/>
      <c r="AB10" s="50"/>
      <c r="AC10" s="50"/>
      <c r="AD10" s="51"/>
      <c r="AE10" s="47"/>
      <c r="AF10" s="23"/>
      <c r="AG10" s="23"/>
    </row>
    <row r="11" spans="1:33" x14ac:dyDescent="0.25">
      <c r="A11" s="32">
        <v>8</v>
      </c>
      <c r="B11" s="39" t="s">
        <v>432</v>
      </c>
      <c r="C11" s="39" t="s">
        <v>433</v>
      </c>
      <c r="D11" s="39" t="s">
        <v>434</v>
      </c>
      <c r="E11" s="39" t="s">
        <v>435</v>
      </c>
      <c r="F11" s="39" t="s">
        <v>436</v>
      </c>
      <c r="G11" s="39">
        <v>98110</v>
      </c>
      <c r="H11" s="39" t="s">
        <v>437</v>
      </c>
      <c r="I11" s="40" t="s">
        <v>54</v>
      </c>
      <c r="J11" s="72">
        <v>9999999</v>
      </c>
      <c r="K11" s="23"/>
      <c r="L11" s="45"/>
      <c r="M11" s="46"/>
      <c r="N11" s="46"/>
      <c r="O11" s="46"/>
      <c r="P11" s="46"/>
      <c r="Q11" s="46"/>
      <c r="R11" s="46"/>
      <c r="S11" s="46"/>
      <c r="T11" s="46"/>
      <c r="U11" s="46"/>
      <c r="V11" s="46"/>
      <c r="W11" s="46"/>
      <c r="X11" s="46"/>
      <c r="Y11" s="46"/>
      <c r="Z11" s="46"/>
      <c r="AA11" s="46"/>
      <c r="AB11" s="46"/>
      <c r="AC11" s="46"/>
      <c r="AD11" s="46"/>
      <c r="AE11" s="47"/>
      <c r="AF11" s="23"/>
      <c r="AG11" s="23"/>
    </row>
    <row r="12" spans="1:33" x14ac:dyDescent="0.25">
      <c r="A12" s="32">
        <v>9</v>
      </c>
      <c r="B12" s="39"/>
      <c r="C12" s="39"/>
      <c r="D12" s="39"/>
      <c r="E12" s="39"/>
      <c r="F12" s="39"/>
      <c r="G12" s="39"/>
      <c r="H12" s="39"/>
      <c r="I12" s="40"/>
      <c r="J12" s="72"/>
      <c r="K12" s="23"/>
      <c r="L12" s="45"/>
      <c r="M12" s="52" t="s">
        <v>45</v>
      </c>
      <c r="N12" s="46"/>
      <c r="O12" s="46"/>
      <c r="P12" s="49" t="str">
        <f>HLOOKUP(M12,$B$3:$J$104,$L$2,FALSE)</f>
        <v>206-555-5555</v>
      </c>
      <c r="Q12" s="50"/>
      <c r="R12" s="50"/>
      <c r="S12" s="50"/>
      <c r="T12" s="50"/>
      <c r="U12" s="51"/>
      <c r="V12" s="46"/>
      <c r="W12" s="60" t="s">
        <v>99</v>
      </c>
      <c r="X12" s="46"/>
      <c r="Y12" s="49" t="str">
        <f>HLOOKUP("Pension Plan",$B$3:$J$104,$L$2,FALSE)</f>
        <v>Plan A</v>
      </c>
      <c r="Z12" s="50"/>
      <c r="AA12" s="50"/>
      <c r="AB12" s="50"/>
      <c r="AC12" s="50"/>
      <c r="AD12" s="51"/>
      <c r="AE12" s="47"/>
      <c r="AF12" s="23"/>
      <c r="AG12" s="23"/>
    </row>
    <row r="13" spans="1:33" x14ac:dyDescent="0.25">
      <c r="A13" s="32">
        <v>10</v>
      </c>
      <c r="B13" s="39"/>
      <c r="C13" s="39"/>
      <c r="D13" s="39"/>
      <c r="E13" s="39"/>
      <c r="F13" s="39"/>
      <c r="G13" s="39"/>
      <c r="H13" s="39"/>
      <c r="I13" s="40"/>
      <c r="J13" s="72"/>
      <c r="K13" s="23"/>
      <c r="L13" s="45"/>
      <c r="M13" s="46"/>
      <c r="N13" s="46"/>
      <c r="O13" s="46"/>
      <c r="P13" s="46"/>
      <c r="Q13" s="46"/>
      <c r="R13" s="46"/>
      <c r="S13" s="46"/>
      <c r="T13" s="46"/>
      <c r="U13" s="46"/>
      <c r="V13" s="46"/>
      <c r="W13" s="46"/>
      <c r="X13" s="46"/>
      <c r="Y13" s="46"/>
      <c r="Z13" s="46"/>
      <c r="AA13" s="46"/>
      <c r="AB13" s="46"/>
      <c r="AC13" s="46"/>
      <c r="AD13" s="46"/>
      <c r="AE13" s="47"/>
      <c r="AF13" s="23"/>
      <c r="AG13" s="23"/>
    </row>
    <row r="14" spans="1:33" x14ac:dyDescent="0.25">
      <c r="A14" s="32">
        <v>11</v>
      </c>
      <c r="B14" s="39"/>
      <c r="C14" s="39"/>
      <c r="D14" s="39"/>
      <c r="E14" s="39"/>
      <c r="F14" s="39"/>
      <c r="G14" s="39"/>
      <c r="H14" s="39"/>
      <c r="I14" s="40"/>
      <c r="J14" s="72"/>
      <c r="K14" s="23"/>
      <c r="L14" s="45"/>
      <c r="M14" s="52" t="s">
        <v>90</v>
      </c>
      <c r="N14" s="46"/>
      <c r="O14" s="46"/>
      <c r="P14" s="46"/>
      <c r="Q14" s="46"/>
      <c r="R14" s="46"/>
      <c r="S14" s="46"/>
      <c r="T14" s="46"/>
      <c r="U14" s="46"/>
      <c r="V14" s="46"/>
      <c r="W14" s="46"/>
      <c r="X14" s="46"/>
      <c r="Y14" s="359">
        <f>HLOOKUP("Balance",$B$3:$J$104,$L$2,FALSE)</f>
        <v>9999999</v>
      </c>
      <c r="Z14" s="332"/>
      <c r="AA14" s="332"/>
      <c r="AB14" s="332"/>
      <c r="AC14" s="332"/>
      <c r="AD14" s="429"/>
      <c r="AE14" s="47"/>
      <c r="AF14" s="23"/>
      <c r="AG14" s="23"/>
    </row>
    <row r="15" spans="1:33" x14ac:dyDescent="0.25">
      <c r="A15" s="32">
        <v>12</v>
      </c>
      <c r="B15" s="39"/>
      <c r="C15" s="39"/>
      <c r="D15" s="39"/>
      <c r="E15" s="39"/>
      <c r="F15" s="39"/>
      <c r="G15" s="39"/>
      <c r="H15" s="39"/>
      <c r="I15" s="40"/>
      <c r="J15" s="72"/>
      <c r="K15" s="23"/>
      <c r="L15" s="45"/>
      <c r="M15" s="46"/>
      <c r="N15" s="46"/>
      <c r="O15" s="46"/>
      <c r="P15" s="46"/>
      <c r="Q15" s="46"/>
      <c r="R15" s="46"/>
      <c r="S15" s="46"/>
      <c r="T15" s="46"/>
      <c r="U15" s="46"/>
      <c r="V15" s="46"/>
      <c r="W15" s="46"/>
      <c r="X15" s="46"/>
      <c r="Y15" s="46"/>
      <c r="Z15" s="46"/>
      <c r="AA15" s="46"/>
      <c r="AB15" s="46"/>
      <c r="AC15" s="46"/>
      <c r="AD15" s="46"/>
      <c r="AE15" s="47"/>
      <c r="AF15" s="23"/>
      <c r="AG15" s="23"/>
    </row>
    <row r="16" spans="1:33" x14ac:dyDescent="0.25">
      <c r="A16" s="32">
        <v>13</v>
      </c>
      <c r="B16" s="39"/>
      <c r="C16" s="39"/>
      <c r="D16" s="39"/>
      <c r="E16" s="39"/>
      <c r="F16" s="39"/>
      <c r="G16" s="39"/>
      <c r="H16" s="39"/>
      <c r="I16" s="40"/>
      <c r="J16" s="72"/>
      <c r="K16" s="23"/>
      <c r="L16" s="303" t="s">
        <v>91</v>
      </c>
      <c r="M16" s="304"/>
      <c r="N16" s="304"/>
      <c r="O16" s="304"/>
      <c r="P16" s="304"/>
      <c r="Q16" s="304"/>
      <c r="R16" s="304"/>
      <c r="S16" s="304"/>
      <c r="T16" s="304"/>
      <c r="U16" s="304"/>
      <c r="V16" s="304"/>
      <c r="W16" s="304"/>
      <c r="X16" s="304"/>
      <c r="Y16" s="304"/>
      <c r="Z16" s="304"/>
      <c r="AA16" s="304"/>
      <c r="AB16" s="304"/>
      <c r="AC16" s="304"/>
      <c r="AD16" s="304"/>
      <c r="AE16" s="305"/>
      <c r="AF16" s="23"/>
      <c r="AG16" s="23"/>
    </row>
    <row r="17" spans="1:33" ht="16.5" thickBot="1" x14ac:dyDescent="0.3">
      <c r="A17" s="32">
        <v>14</v>
      </c>
      <c r="B17" s="39"/>
      <c r="C17" s="39"/>
      <c r="D17" s="39"/>
      <c r="E17" s="39"/>
      <c r="F17" s="39"/>
      <c r="G17" s="39"/>
      <c r="H17" s="39"/>
      <c r="I17" s="40"/>
      <c r="J17" s="72"/>
      <c r="K17" s="23"/>
      <c r="L17" s="61"/>
      <c r="M17" s="62"/>
      <c r="N17" s="62"/>
      <c r="O17" s="62"/>
      <c r="P17" s="62"/>
      <c r="Q17" s="62"/>
      <c r="R17" s="62"/>
      <c r="S17" s="62"/>
      <c r="T17" s="62"/>
      <c r="U17" s="62"/>
      <c r="V17" s="62"/>
      <c r="W17" s="62"/>
      <c r="X17" s="62"/>
      <c r="Y17" s="62"/>
      <c r="Z17" s="62"/>
      <c r="AA17" s="62"/>
      <c r="AB17" s="62"/>
      <c r="AC17" s="62"/>
      <c r="AD17" s="62"/>
      <c r="AE17" s="63"/>
      <c r="AF17" s="23"/>
      <c r="AG17" s="23"/>
    </row>
    <row r="18" spans="1:33" x14ac:dyDescent="0.25">
      <c r="A18" s="32">
        <v>15</v>
      </c>
      <c r="B18" s="39"/>
      <c r="C18" s="39"/>
      <c r="D18" s="39"/>
      <c r="E18" s="39"/>
      <c r="F18" s="39"/>
      <c r="G18" s="39"/>
      <c r="H18" s="39"/>
      <c r="I18" s="40"/>
      <c r="J18" s="72"/>
      <c r="K18" s="23"/>
      <c r="L18" s="23"/>
      <c r="M18" s="23"/>
      <c r="N18" s="23"/>
      <c r="O18" s="23"/>
      <c r="P18" s="23"/>
      <c r="Q18" s="23"/>
      <c r="R18" s="23"/>
      <c r="S18" s="23"/>
      <c r="T18" s="23"/>
      <c r="U18" s="23"/>
      <c r="V18" s="23"/>
      <c r="W18" s="23"/>
      <c r="X18" s="23"/>
      <c r="Y18" s="23"/>
      <c r="Z18" s="23"/>
      <c r="AA18" s="23"/>
      <c r="AB18" s="23"/>
      <c r="AC18" s="23"/>
      <c r="AD18" s="23"/>
      <c r="AE18" s="23"/>
      <c r="AF18" s="23"/>
      <c r="AG18" s="23"/>
    </row>
    <row r="19" spans="1:33" x14ac:dyDescent="0.25">
      <c r="A19" s="32">
        <v>16</v>
      </c>
      <c r="B19" s="39"/>
      <c r="C19" s="39"/>
      <c r="D19" s="39"/>
      <c r="E19" s="39"/>
      <c r="F19" s="39"/>
      <c r="G19" s="39"/>
      <c r="H19" s="39"/>
      <c r="I19" s="40"/>
      <c r="J19" s="72"/>
      <c r="K19" s="23"/>
      <c r="L19" s="23"/>
      <c r="M19" s="23"/>
      <c r="N19" s="23"/>
      <c r="O19" s="23"/>
      <c r="P19" s="23"/>
      <c r="Q19" s="23"/>
      <c r="R19" s="23"/>
      <c r="S19" s="23"/>
      <c r="T19" s="23"/>
      <c r="U19" s="23"/>
      <c r="V19" s="23"/>
      <c r="W19" s="23"/>
      <c r="X19" s="23"/>
      <c r="Y19" s="23"/>
      <c r="Z19" s="23"/>
      <c r="AA19" s="23"/>
      <c r="AB19" s="23"/>
      <c r="AC19" s="23"/>
      <c r="AD19" s="23"/>
      <c r="AE19" s="23"/>
      <c r="AF19" s="23"/>
      <c r="AG19" s="23"/>
    </row>
    <row r="20" spans="1:33" x14ac:dyDescent="0.25">
      <c r="A20" s="32">
        <v>17</v>
      </c>
      <c r="B20" s="39"/>
      <c r="C20" s="39"/>
      <c r="D20" s="39"/>
      <c r="E20" s="39"/>
      <c r="F20" s="39"/>
      <c r="G20" s="39"/>
      <c r="H20" s="39"/>
      <c r="I20" s="40"/>
      <c r="J20" s="72"/>
      <c r="K20" s="23"/>
      <c r="L20" s="23"/>
      <c r="M20" s="23"/>
      <c r="N20" s="23"/>
      <c r="O20" s="23"/>
      <c r="P20" s="23"/>
      <c r="Q20" s="23"/>
      <c r="R20" s="23"/>
      <c r="S20" s="23"/>
      <c r="T20" s="23"/>
      <c r="U20" s="23"/>
      <c r="V20" s="23"/>
      <c r="W20" s="23"/>
      <c r="X20" s="23"/>
      <c r="Y20" s="23"/>
      <c r="Z20" s="23"/>
      <c r="AA20" s="23"/>
      <c r="AB20" s="23"/>
      <c r="AC20" s="23"/>
      <c r="AD20" s="23"/>
      <c r="AE20" s="23"/>
      <c r="AF20" s="23"/>
      <c r="AG20" s="23"/>
    </row>
    <row r="21" spans="1:33" x14ac:dyDescent="0.25">
      <c r="A21" s="32">
        <v>18</v>
      </c>
      <c r="B21" s="39"/>
      <c r="C21" s="39"/>
      <c r="D21" s="39"/>
      <c r="E21" s="39"/>
      <c r="F21" s="39"/>
      <c r="G21" s="39"/>
      <c r="H21" s="39"/>
      <c r="I21" s="40"/>
      <c r="J21" s="72"/>
      <c r="K21" s="23"/>
      <c r="L21" s="23"/>
      <c r="M21" s="23"/>
      <c r="N21" s="23"/>
      <c r="O21" s="23"/>
      <c r="P21" s="23"/>
      <c r="Q21" s="23"/>
      <c r="R21" s="23"/>
      <c r="S21" s="23"/>
      <c r="T21" s="23"/>
      <c r="U21" s="23"/>
      <c r="V21" s="23"/>
      <c r="W21" s="23"/>
      <c r="X21" s="23"/>
      <c r="Y21" s="23"/>
      <c r="Z21" s="23"/>
      <c r="AA21" s="23"/>
      <c r="AB21" s="23"/>
      <c r="AC21" s="23"/>
      <c r="AD21" s="23"/>
      <c r="AE21" s="23"/>
      <c r="AF21" s="23"/>
      <c r="AG21" s="23"/>
    </row>
    <row r="22" spans="1:33" x14ac:dyDescent="0.25">
      <c r="A22" s="32">
        <v>19</v>
      </c>
      <c r="B22" s="39"/>
      <c r="C22" s="39"/>
      <c r="D22" s="39"/>
      <c r="E22" s="39"/>
      <c r="F22" s="39"/>
      <c r="G22" s="39"/>
      <c r="H22" s="39"/>
      <c r="I22" s="40"/>
      <c r="J22" s="72"/>
      <c r="K22" s="23"/>
      <c r="L22" s="23"/>
      <c r="M22" s="23"/>
      <c r="N22" s="23"/>
      <c r="O22" s="23"/>
      <c r="P22" s="23"/>
      <c r="Q22" s="23"/>
      <c r="R22" s="23"/>
      <c r="S22" s="23"/>
      <c r="T22" s="23"/>
      <c r="U22" s="23"/>
      <c r="V22" s="23"/>
      <c r="W22" s="23"/>
      <c r="X22" s="23"/>
      <c r="Y22" s="23"/>
      <c r="Z22" s="23"/>
      <c r="AA22" s="23"/>
      <c r="AB22" s="23"/>
      <c r="AC22" s="23"/>
      <c r="AD22" s="23"/>
      <c r="AE22" s="23"/>
      <c r="AF22" s="23"/>
      <c r="AG22" s="23"/>
    </row>
    <row r="23" spans="1:33" x14ac:dyDescent="0.25">
      <c r="A23" s="32">
        <v>20</v>
      </c>
      <c r="B23" s="39"/>
      <c r="C23" s="39"/>
      <c r="D23" s="39"/>
      <c r="E23" s="39"/>
      <c r="F23" s="39"/>
      <c r="G23" s="39"/>
      <c r="H23" s="39"/>
      <c r="I23" s="40"/>
      <c r="J23" s="72"/>
      <c r="K23" s="23"/>
      <c r="L23" s="23"/>
      <c r="M23" s="23"/>
      <c r="N23" s="23"/>
      <c r="O23" s="23"/>
      <c r="P23" s="23"/>
      <c r="Q23" s="23"/>
      <c r="R23" s="23"/>
      <c r="S23" s="23"/>
      <c r="T23" s="23"/>
      <c r="U23" s="23"/>
      <c r="V23" s="23"/>
      <c r="W23" s="23"/>
      <c r="X23" s="23"/>
      <c r="Y23" s="23"/>
      <c r="Z23" s="23"/>
      <c r="AA23" s="23"/>
      <c r="AB23" s="23"/>
      <c r="AC23" s="23"/>
      <c r="AD23" s="23"/>
      <c r="AE23" s="23"/>
      <c r="AF23" s="23"/>
      <c r="AG23" s="23"/>
    </row>
    <row r="24" spans="1:33" x14ac:dyDescent="0.25">
      <c r="A24" s="32">
        <v>21</v>
      </c>
      <c r="B24" s="39"/>
      <c r="C24" s="39"/>
      <c r="D24" s="39"/>
      <c r="E24" s="39"/>
      <c r="F24" s="39"/>
      <c r="G24" s="39"/>
      <c r="H24" s="39"/>
      <c r="I24" s="40"/>
      <c r="J24" s="72"/>
      <c r="K24" s="23"/>
      <c r="L24" s="23"/>
      <c r="M24" s="23"/>
      <c r="N24" s="23"/>
      <c r="O24" s="23"/>
      <c r="P24" s="23"/>
      <c r="Q24" s="23"/>
      <c r="R24" s="23"/>
      <c r="S24" s="23"/>
      <c r="T24" s="23"/>
      <c r="U24" s="23"/>
      <c r="V24" s="23"/>
      <c r="W24" s="23"/>
      <c r="X24" s="23"/>
      <c r="Y24" s="23"/>
      <c r="Z24" s="23"/>
      <c r="AA24" s="23"/>
      <c r="AB24" s="23"/>
      <c r="AC24" s="23"/>
      <c r="AD24" s="23"/>
      <c r="AE24" s="23"/>
      <c r="AF24" s="23"/>
      <c r="AG24" s="23"/>
    </row>
    <row r="25" spans="1:33" x14ac:dyDescent="0.25">
      <c r="A25" s="32">
        <v>22</v>
      </c>
      <c r="B25" s="39"/>
      <c r="C25" s="39"/>
      <c r="D25" s="39"/>
      <c r="E25" s="39"/>
      <c r="F25" s="39"/>
      <c r="G25" s="39"/>
      <c r="H25" s="39"/>
      <c r="I25" s="40"/>
      <c r="J25" s="72"/>
      <c r="K25" s="23"/>
      <c r="L25" s="23"/>
      <c r="M25" s="23"/>
      <c r="N25" s="23"/>
      <c r="O25" s="23"/>
      <c r="P25" s="23"/>
      <c r="Q25" s="23"/>
      <c r="R25" s="23"/>
      <c r="S25" s="23"/>
      <c r="T25" s="23"/>
      <c r="U25" s="23"/>
      <c r="V25" s="23"/>
      <c r="W25" s="23"/>
      <c r="X25" s="23"/>
      <c r="Y25" s="23"/>
      <c r="Z25" s="23"/>
      <c r="AA25" s="23"/>
      <c r="AB25" s="23"/>
      <c r="AC25" s="23"/>
      <c r="AD25" s="23"/>
      <c r="AE25" s="23"/>
      <c r="AF25" s="23"/>
      <c r="AG25" s="23"/>
    </row>
    <row r="26" spans="1:33" x14ac:dyDescent="0.25">
      <c r="A26" s="32">
        <v>23</v>
      </c>
      <c r="B26" s="39"/>
      <c r="C26" s="39"/>
      <c r="D26" s="39"/>
      <c r="E26" s="39"/>
      <c r="F26" s="39"/>
      <c r="G26" s="39"/>
      <c r="H26" s="39"/>
      <c r="I26" s="40"/>
      <c r="J26" s="72"/>
      <c r="K26" s="23"/>
      <c r="L26" s="23"/>
      <c r="M26" s="23"/>
      <c r="N26" s="23"/>
      <c r="O26" s="23"/>
      <c r="P26" s="23"/>
      <c r="Q26" s="23"/>
      <c r="R26" s="23"/>
      <c r="S26" s="23"/>
      <c r="T26" s="23"/>
      <c r="U26" s="23"/>
      <c r="V26" s="23"/>
      <c r="W26" s="23"/>
      <c r="X26" s="23"/>
      <c r="Y26" s="23"/>
      <c r="Z26" s="23"/>
      <c r="AA26" s="23"/>
      <c r="AB26" s="23"/>
      <c r="AC26" s="23"/>
      <c r="AD26" s="23"/>
      <c r="AE26" s="23"/>
      <c r="AF26" s="23"/>
      <c r="AG26" s="23"/>
    </row>
    <row r="27" spans="1:33" x14ac:dyDescent="0.25">
      <c r="A27" s="32">
        <v>24</v>
      </c>
      <c r="B27" s="39"/>
      <c r="C27" s="39"/>
      <c r="D27" s="39"/>
      <c r="E27" s="39"/>
      <c r="F27" s="39"/>
      <c r="G27" s="39"/>
      <c r="H27" s="39"/>
      <c r="I27" s="40"/>
      <c r="J27" s="72"/>
      <c r="K27" s="23"/>
      <c r="L27" s="23"/>
      <c r="M27" s="23"/>
      <c r="N27" s="23"/>
      <c r="O27" s="23"/>
      <c r="P27" s="23"/>
      <c r="Q27" s="23"/>
      <c r="R27" s="23"/>
      <c r="S27" s="23"/>
      <c r="T27" s="23"/>
      <c r="U27" s="23"/>
      <c r="V27" s="23"/>
      <c r="W27" s="23"/>
      <c r="X27" s="23"/>
      <c r="Y27" s="23"/>
      <c r="Z27" s="23"/>
      <c r="AA27" s="23"/>
      <c r="AB27" s="23"/>
      <c r="AC27" s="23"/>
      <c r="AD27" s="23"/>
      <c r="AE27" s="23"/>
      <c r="AF27" s="23"/>
      <c r="AG27" s="23"/>
    </row>
    <row r="28" spans="1:33" x14ac:dyDescent="0.25">
      <c r="A28" s="32">
        <v>25</v>
      </c>
      <c r="B28" s="39"/>
      <c r="C28" s="39"/>
      <c r="D28" s="39"/>
      <c r="E28" s="39"/>
      <c r="F28" s="39"/>
      <c r="G28" s="39"/>
      <c r="H28" s="39"/>
      <c r="I28" s="40"/>
      <c r="J28" s="72"/>
      <c r="K28" s="23"/>
      <c r="L28" s="23"/>
      <c r="M28" s="23"/>
      <c r="N28" s="23"/>
      <c r="O28" s="23"/>
      <c r="P28" s="23"/>
      <c r="Q28" s="23"/>
      <c r="R28" s="23"/>
      <c r="S28" s="23"/>
      <c r="T28" s="23"/>
      <c r="U28" s="23"/>
      <c r="V28" s="23"/>
      <c r="W28" s="23"/>
      <c r="X28" s="23"/>
      <c r="Y28" s="23"/>
      <c r="Z28" s="23"/>
      <c r="AA28" s="23"/>
      <c r="AB28" s="23"/>
      <c r="AC28" s="23"/>
      <c r="AD28" s="23"/>
      <c r="AE28" s="23"/>
      <c r="AF28" s="23"/>
      <c r="AG28" s="23"/>
    </row>
    <row r="29" spans="1:33" x14ac:dyDescent="0.25">
      <c r="A29" s="32">
        <v>26</v>
      </c>
      <c r="B29" s="39"/>
      <c r="C29" s="39"/>
      <c r="D29" s="39"/>
      <c r="E29" s="39"/>
      <c r="F29" s="39"/>
      <c r="G29" s="39"/>
      <c r="H29" s="39"/>
      <c r="I29" s="40"/>
      <c r="J29" s="72"/>
      <c r="K29" s="23"/>
      <c r="L29" s="23"/>
      <c r="M29" s="23"/>
      <c r="N29" s="23"/>
      <c r="O29" s="23"/>
      <c r="P29" s="23"/>
      <c r="Q29" s="23"/>
      <c r="R29" s="23"/>
      <c r="S29" s="23"/>
      <c r="T29" s="23"/>
      <c r="U29" s="23"/>
      <c r="V29" s="23"/>
      <c r="W29" s="23"/>
      <c r="X29" s="23"/>
      <c r="Y29" s="23"/>
      <c r="Z29" s="23"/>
      <c r="AA29" s="23"/>
      <c r="AB29" s="23"/>
      <c r="AC29" s="23"/>
      <c r="AD29" s="23"/>
      <c r="AE29" s="23"/>
      <c r="AF29" s="23"/>
      <c r="AG29" s="23"/>
    </row>
  </sheetData>
  <mergeCells count="4">
    <mergeCell ref="L4:AE4"/>
    <mergeCell ref="Y10:AA10"/>
    <mergeCell ref="Y14:AD14"/>
    <mergeCell ref="L16:AE16"/>
  </mergeCells>
  <pageMargins left="0.7" right="0.7" top="0.75" bottom="0.75" header="0.3" footer="0.3"/>
  <drawing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29"/>
  <sheetViews>
    <sheetView showGridLines="0" workbookViewId="0">
      <selection activeCell="M34" sqref="M34"/>
    </sheetView>
  </sheetViews>
  <sheetFormatPr defaultRowHeight="15.75" x14ac:dyDescent="0.25"/>
  <cols>
    <col min="1" max="1" width="7.875" bestFit="1" customWidth="1"/>
    <col min="2" max="3" width="10" bestFit="1" customWidth="1"/>
    <col min="4" max="4" width="19" bestFit="1" customWidth="1"/>
    <col min="5" max="5" width="8.375" bestFit="1" customWidth="1"/>
    <col min="6" max="6" width="5.375" bestFit="1" customWidth="1"/>
    <col min="7" max="7" width="5.875" bestFit="1" customWidth="1"/>
    <col min="8" max="8" width="11.875" bestFit="1" customWidth="1"/>
    <col min="9" max="9" width="11.875" customWidth="1"/>
    <col min="10" max="10" width="12.125" bestFit="1" customWidth="1"/>
    <col min="11" max="11" width="3.75" customWidth="1"/>
    <col min="12" max="31" width="3.625" customWidth="1"/>
    <col min="32" max="32" width="3" customWidth="1"/>
  </cols>
  <sheetData>
    <row r="1" spans="1:33" x14ac:dyDescent="0.25">
      <c r="A1" s="16"/>
      <c r="B1" s="16"/>
      <c r="C1" s="16"/>
      <c r="D1" s="16"/>
      <c r="E1" s="16"/>
      <c r="F1" s="16"/>
      <c r="G1" s="16"/>
      <c r="H1" s="16"/>
      <c r="I1" s="16"/>
      <c r="J1" s="16"/>
      <c r="K1" s="16"/>
      <c r="L1" s="16"/>
      <c r="M1" s="16"/>
      <c r="N1" s="16"/>
      <c r="O1" s="16"/>
      <c r="P1" s="16"/>
      <c r="Q1" s="16"/>
      <c r="R1" s="16"/>
      <c r="S1" s="17">
        <f t="shared" ref="S1:AB1" si="0">VLOOKUP(MAX($A$3:$A$147),$A$3:$H$147,2)</f>
        <v>0</v>
      </c>
      <c r="T1" s="17">
        <f t="shared" si="0"/>
        <v>0</v>
      </c>
      <c r="U1" s="17">
        <f t="shared" si="0"/>
        <v>0</v>
      </c>
      <c r="V1" s="17">
        <f t="shared" si="0"/>
        <v>0</v>
      </c>
      <c r="W1" s="17">
        <f t="shared" si="0"/>
        <v>0</v>
      </c>
      <c r="X1" s="17">
        <f t="shared" si="0"/>
        <v>0</v>
      </c>
      <c r="Y1" s="17">
        <f t="shared" si="0"/>
        <v>0</v>
      </c>
      <c r="Z1" s="17">
        <f t="shared" si="0"/>
        <v>0</v>
      </c>
      <c r="AA1" s="17">
        <f t="shared" si="0"/>
        <v>0</v>
      </c>
      <c r="AB1" s="17">
        <f t="shared" si="0"/>
        <v>0</v>
      </c>
      <c r="AC1" s="18"/>
      <c r="AD1" s="18"/>
      <c r="AE1" s="18"/>
      <c r="AF1" s="18"/>
      <c r="AG1" s="18"/>
    </row>
    <row r="2" spans="1:33" ht="16.5" thickBot="1" x14ac:dyDescent="0.3">
      <c r="A2" s="73"/>
      <c r="B2" s="20"/>
      <c r="C2" s="20"/>
      <c r="D2" s="20"/>
      <c r="E2" s="20"/>
      <c r="F2" s="20"/>
      <c r="G2" s="20"/>
      <c r="H2" s="20"/>
      <c r="I2" s="22"/>
      <c r="J2" s="20"/>
      <c r="K2" s="23"/>
      <c r="L2" s="23"/>
      <c r="M2" s="23"/>
      <c r="N2" s="23"/>
      <c r="O2" s="23"/>
      <c r="P2" s="23"/>
      <c r="Q2" s="23"/>
      <c r="R2" s="23"/>
      <c r="S2" s="23"/>
      <c r="T2" s="23"/>
      <c r="U2" s="23"/>
      <c r="V2" s="23"/>
      <c r="W2" s="23"/>
      <c r="X2" s="23"/>
      <c r="Y2" s="23"/>
      <c r="Z2" s="23"/>
      <c r="AA2" s="23"/>
      <c r="AB2" s="23"/>
      <c r="AC2" s="23"/>
      <c r="AD2" s="23"/>
      <c r="AE2" s="23"/>
      <c r="AF2" s="23"/>
      <c r="AG2" s="23"/>
    </row>
    <row r="3" spans="1:33" x14ac:dyDescent="0.25">
      <c r="A3" s="68" t="s">
        <v>38</v>
      </c>
      <c r="B3" s="69" t="s">
        <v>39</v>
      </c>
      <c r="C3" s="69" t="s">
        <v>40</v>
      </c>
      <c r="D3" s="69" t="s">
        <v>41</v>
      </c>
      <c r="E3" s="68" t="s">
        <v>42</v>
      </c>
      <c r="F3" s="68" t="s">
        <v>43</v>
      </c>
      <c r="G3" s="68" t="s">
        <v>44</v>
      </c>
      <c r="H3" s="68" t="s">
        <v>45</v>
      </c>
      <c r="I3" s="68" t="s">
        <v>46</v>
      </c>
      <c r="J3" s="68" t="s">
        <v>47</v>
      </c>
      <c r="K3" s="23"/>
      <c r="L3" s="29"/>
      <c r="M3" s="30"/>
      <c r="N3" s="30"/>
      <c r="O3" s="30"/>
      <c r="P3" s="30"/>
      <c r="Q3" s="30"/>
      <c r="R3" s="30"/>
      <c r="S3" s="30"/>
      <c r="T3" s="30"/>
      <c r="U3" s="30"/>
      <c r="V3" s="30"/>
      <c r="W3" s="30"/>
      <c r="X3" s="30"/>
      <c r="Y3" s="30"/>
      <c r="Z3" s="30"/>
      <c r="AA3" s="30"/>
      <c r="AB3" s="30"/>
      <c r="AC3" s="30"/>
      <c r="AD3" s="30"/>
      <c r="AE3" s="31"/>
      <c r="AF3" s="23"/>
      <c r="AG3" s="23"/>
    </row>
    <row r="4" spans="1:33" x14ac:dyDescent="0.25">
      <c r="A4" s="32">
        <v>1</v>
      </c>
      <c r="B4" s="33" t="s">
        <v>48</v>
      </c>
      <c r="C4" s="34" t="s">
        <v>49</v>
      </c>
      <c r="D4" s="34" t="s">
        <v>50</v>
      </c>
      <c r="E4" s="34" t="s">
        <v>51</v>
      </c>
      <c r="F4" s="35" t="s">
        <v>52</v>
      </c>
      <c r="G4" s="35">
        <v>30062</v>
      </c>
      <c r="H4" s="33" t="s">
        <v>53</v>
      </c>
      <c r="I4" s="37" t="s">
        <v>54</v>
      </c>
      <c r="J4" s="70">
        <v>157665</v>
      </c>
      <c r="K4" s="23"/>
      <c r="L4" s="300" t="s">
        <v>55</v>
      </c>
      <c r="M4" s="301"/>
      <c r="N4" s="301"/>
      <c r="O4" s="301"/>
      <c r="P4" s="301"/>
      <c r="Q4" s="301"/>
      <c r="R4" s="301"/>
      <c r="S4" s="301"/>
      <c r="T4" s="301"/>
      <c r="U4" s="301"/>
      <c r="V4" s="301"/>
      <c r="W4" s="301"/>
      <c r="X4" s="301"/>
      <c r="Y4" s="301"/>
      <c r="Z4" s="301"/>
      <c r="AA4" s="301"/>
      <c r="AB4" s="301"/>
      <c r="AC4" s="301"/>
      <c r="AD4" s="301"/>
      <c r="AE4" s="302"/>
      <c r="AF4" s="23"/>
      <c r="AG4" s="23"/>
    </row>
    <row r="5" spans="1:33" x14ac:dyDescent="0.25">
      <c r="A5" s="32">
        <v>2</v>
      </c>
      <c r="B5" s="39" t="s">
        <v>56</v>
      </c>
      <c r="C5" s="39" t="s">
        <v>57</v>
      </c>
      <c r="D5" s="39" t="s">
        <v>58</v>
      </c>
      <c r="E5" s="39" t="s">
        <v>51</v>
      </c>
      <c r="F5" s="40" t="s">
        <v>52</v>
      </c>
      <c r="G5" s="40">
        <v>30063</v>
      </c>
      <c r="H5" s="42" t="s">
        <v>59</v>
      </c>
      <c r="I5" s="43" t="s">
        <v>60</v>
      </c>
      <c r="J5" s="71">
        <v>156340</v>
      </c>
      <c r="K5" s="23"/>
      <c r="L5" s="45"/>
      <c r="M5" s="46"/>
      <c r="N5" s="46"/>
      <c r="O5" s="46"/>
      <c r="P5" s="46"/>
      <c r="Q5" s="46"/>
      <c r="R5" s="46"/>
      <c r="S5" s="46"/>
      <c r="T5" s="46"/>
      <c r="U5" s="46"/>
      <c r="V5" s="46"/>
      <c r="W5" s="46"/>
      <c r="X5" s="46"/>
      <c r="Y5" s="46"/>
      <c r="Z5" s="46"/>
      <c r="AA5" s="46"/>
      <c r="AB5" s="46"/>
      <c r="AC5" s="46"/>
      <c r="AD5" s="46"/>
      <c r="AE5" s="47"/>
      <c r="AF5" s="23"/>
      <c r="AG5" s="23"/>
    </row>
    <row r="6" spans="1:33" x14ac:dyDescent="0.25">
      <c r="A6" s="32">
        <v>3</v>
      </c>
      <c r="B6" s="39" t="s">
        <v>61</v>
      </c>
      <c r="C6" s="42" t="s">
        <v>62</v>
      </c>
      <c r="D6" s="39" t="s">
        <v>63</v>
      </c>
      <c r="E6" s="39" t="s">
        <v>51</v>
      </c>
      <c r="F6" s="40" t="s">
        <v>52</v>
      </c>
      <c r="G6" s="40">
        <v>30064</v>
      </c>
      <c r="H6" s="42" t="s">
        <v>64</v>
      </c>
      <c r="I6" s="43" t="s">
        <v>65</v>
      </c>
      <c r="J6" s="71">
        <v>81480</v>
      </c>
      <c r="K6" s="23"/>
      <c r="L6" s="45"/>
      <c r="M6" s="48" t="s">
        <v>39</v>
      </c>
      <c r="N6" s="46"/>
      <c r="O6" s="46"/>
      <c r="P6" s="49" t="str">
        <f ca="1">OFFSET(B$3,$L$27,0)</f>
        <v>Miller</v>
      </c>
      <c r="Q6" s="50"/>
      <c r="R6" s="50"/>
      <c r="S6" s="50"/>
      <c r="T6" s="50"/>
      <c r="U6" s="51"/>
      <c r="V6" s="46"/>
      <c r="W6" s="52" t="s">
        <v>42</v>
      </c>
      <c r="X6" s="46"/>
      <c r="Y6" s="49" t="str">
        <f ca="1">OFFSET(E$3,$L$27,0)</f>
        <v>Duluth</v>
      </c>
      <c r="Z6" s="50"/>
      <c r="AA6" s="50"/>
      <c r="AB6" s="50"/>
      <c r="AC6" s="50"/>
      <c r="AD6" s="51"/>
      <c r="AE6" s="47"/>
      <c r="AF6" s="23"/>
      <c r="AG6" s="23"/>
    </row>
    <row r="7" spans="1:33" x14ac:dyDescent="0.25">
      <c r="A7" s="32">
        <v>4</v>
      </c>
      <c r="B7" s="39" t="s">
        <v>66</v>
      </c>
      <c r="C7" s="42" t="s">
        <v>67</v>
      </c>
      <c r="D7" s="39" t="s">
        <v>68</v>
      </c>
      <c r="E7" s="39" t="s">
        <v>51</v>
      </c>
      <c r="F7" s="40" t="s">
        <v>52</v>
      </c>
      <c r="G7" s="40">
        <v>30065</v>
      </c>
      <c r="H7" s="42" t="s">
        <v>69</v>
      </c>
      <c r="I7" s="43" t="s">
        <v>54</v>
      </c>
      <c r="J7" s="71">
        <v>202578</v>
      </c>
      <c r="K7" s="23"/>
      <c r="L7" s="45"/>
      <c r="M7" s="46"/>
      <c r="N7" s="46"/>
      <c r="O7" s="46"/>
      <c r="P7" s="46"/>
      <c r="Q7" s="46"/>
      <c r="R7" s="46"/>
      <c r="S7" s="46"/>
      <c r="T7" s="46"/>
      <c r="U7" s="46"/>
      <c r="V7" s="46"/>
      <c r="W7" s="46"/>
      <c r="X7" s="46"/>
      <c r="Y7" s="46"/>
      <c r="Z7" s="46"/>
      <c r="AA7" s="46"/>
      <c r="AB7" s="46"/>
      <c r="AC7" s="46"/>
      <c r="AD7" s="46"/>
      <c r="AE7" s="47"/>
      <c r="AF7" s="23"/>
      <c r="AG7" s="23"/>
    </row>
    <row r="8" spans="1:33" x14ac:dyDescent="0.25">
      <c r="A8" s="32">
        <v>5</v>
      </c>
      <c r="B8" s="42" t="s">
        <v>70</v>
      </c>
      <c r="C8" s="39" t="s">
        <v>71</v>
      </c>
      <c r="D8" s="39" t="s">
        <v>72</v>
      </c>
      <c r="E8" s="39" t="s">
        <v>51</v>
      </c>
      <c r="F8" s="40" t="s">
        <v>52</v>
      </c>
      <c r="G8" s="40">
        <v>30066</v>
      </c>
      <c r="H8" s="42" t="s">
        <v>73</v>
      </c>
      <c r="I8" s="43" t="s">
        <v>60</v>
      </c>
      <c r="J8" s="71">
        <v>177209</v>
      </c>
      <c r="K8" s="23"/>
      <c r="L8" s="45"/>
      <c r="M8" s="48" t="s">
        <v>40</v>
      </c>
      <c r="N8" s="46"/>
      <c r="O8" s="46"/>
      <c r="P8" s="49" t="str">
        <f ca="1">OFFSET(C$3,$L$27,0)</f>
        <v>David</v>
      </c>
      <c r="Q8" s="50"/>
      <c r="R8" s="50"/>
      <c r="S8" s="50"/>
      <c r="T8" s="50"/>
      <c r="U8" s="51"/>
      <c r="V8" s="46"/>
      <c r="W8" s="52" t="s">
        <v>43</v>
      </c>
      <c r="X8" s="46"/>
      <c r="Y8" s="49" t="str">
        <f ca="1">OFFSET(F$3,$L$27,0)</f>
        <v>GA</v>
      </c>
      <c r="Z8" s="50"/>
      <c r="AA8" s="50"/>
      <c r="AB8" s="50"/>
      <c r="AC8" s="50"/>
      <c r="AD8" s="51"/>
      <c r="AE8" s="47"/>
      <c r="AF8" s="23"/>
      <c r="AG8" s="23"/>
    </row>
    <row r="9" spans="1:33" x14ac:dyDescent="0.25">
      <c r="A9" s="32">
        <v>6</v>
      </c>
      <c r="B9" s="39" t="s">
        <v>74</v>
      </c>
      <c r="C9" s="39" t="s">
        <v>75</v>
      </c>
      <c r="D9" s="39" t="s">
        <v>76</v>
      </c>
      <c r="E9" s="39" t="s">
        <v>77</v>
      </c>
      <c r="F9" s="40" t="s">
        <v>52</v>
      </c>
      <c r="G9" s="40">
        <v>30092</v>
      </c>
      <c r="H9" s="42" t="s">
        <v>78</v>
      </c>
      <c r="I9" s="43" t="s">
        <v>65</v>
      </c>
      <c r="J9" s="71">
        <v>212254.23</v>
      </c>
      <c r="K9" s="23"/>
      <c r="L9" s="45"/>
      <c r="M9" s="46"/>
      <c r="N9" s="46"/>
      <c r="O9" s="46"/>
      <c r="P9" s="46"/>
      <c r="Q9" s="46"/>
      <c r="R9" s="46"/>
      <c r="S9" s="46"/>
      <c r="T9" s="46"/>
      <c r="U9" s="46"/>
      <c r="V9" s="46"/>
      <c r="W9" s="46"/>
      <c r="X9" s="46"/>
      <c r="Y9" s="46"/>
      <c r="Z9" s="46"/>
      <c r="AA9" s="46"/>
      <c r="AB9" s="46"/>
      <c r="AC9" s="46"/>
      <c r="AD9" s="46"/>
      <c r="AE9" s="47"/>
      <c r="AF9" s="23"/>
      <c r="AG9" s="23"/>
    </row>
    <row r="10" spans="1:33" x14ac:dyDescent="0.25">
      <c r="A10" s="32">
        <v>7</v>
      </c>
      <c r="B10" s="39" t="s">
        <v>79</v>
      </c>
      <c r="C10" s="39" t="s">
        <v>80</v>
      </c>
      <c r="D10" s="39" t="s">
        <v>50</v>
      </c>
      <c r="E10" s="39" t="s">
        <v>81</v>
      </c>
      <c r="F10" s="40" t="s">
        <v>82</v>
      </c>
      <c r="G10" s="40">
        <v>30092</v>
      </c>
      <c r="H10" s="42" t="s">
        <v>53</v>
      </c>
      <c r="I10" s="43" t="s">
        <v>54</v>
      </c>
      <c r="J10" s="71">
        <v>124533.45</v>
      </c>
      <c r="K10" s="23"/>
      <c r="L10" s="45"/>
      <c r="M10" s="48" t="s">
        <v>41</v>
      </c>
      <c r="N10" s="46"/>
      <c r="O10" s="46"/>
      <c r="P10" s="49" t="str">
        <f ca="1">OFFSET(D$3,$L$27,0)</f>
        <v>333 Bay Bridge Street</v>
      </c>
      <c r="Q10" s="50"/>
      <c r="R10" s="50"/>
      <c r="S10" s="50"/>
      <c r="T10" s="50"/>
      <c r="U10" s="51"/>
      <c r="V10" s="46"/>
      <c r="W10" s="52" t="s">
        <v>44</v>
      </c>
      <c r="X10" s="46"/>
      <c r="Y10" s="49" t="str">
        <f ca="1">TEXT(OFFSET(G$3,$L$27,0),0)</f>
        <v>30092</v>
      </c>
      <c r="Z10" s="50"/>
      <c r="AA10" s="50"/>
      <c r="AB10" s="50"/>
      <c r="AC10" s="50"/>
      <c r="AD10" s="51"/>
      <c r="AE10" s="47"/>
      <c r="AF10" s="23"/>
      <c r="AG10" s="23"/>
    </row>
    <row r="11" spans="1:33" x14ac:dyDescent="0.25">
      <c r="A11" s="32">
        <v>8</v>
      </c>
      <c r="B11" s="42" t="s">
        <v>70</v>
      </c>
      <c r="C11" s="39" t="s">
        <v>71</v>
      </c>
      <c r="D11" s="39" t="s">
        <v>72</v>
      </c>
      <c r="E11" s="39" t="s">
        <v>51</v>
      </c>
      <c r="F11" s="40" t="s">
        <v>52</v>
      </c>
      <c r="G11" s="40">
        <v>30066</v>
      </c>
      <c r="H11" s="42" t="s">
        <v>73</v>
      </c>
      <c r="I11" s="43" t="s">
        <v>60</v>
      </c>
      <c r="J11" s="71">
        <v>177209</v>
      </c>
      <c r="K11" s="23"/>
      <c r="L11" s="45"/>
      <c r="M11" s="46"/>
      <c r="N11" s="46"/>
      <c r="O11" s="46"/>
      <c r="P11" s="46"/>
      <c r="Q11" s="46"/>
      <c r="R11" s="46"/>
      <c r="S11" s="46"/>
      <c r="T11" s="46"/>
      <c r="U11" s="46"/>
      <c r="V11" s="46"/>
      <c r="W11" s="46"/>
      <c r="X11" s="46"/>
      <c r="Y11" s="46"/>
      <c r="Z11" s="46"/>
      <c r="AA11" s="46"/>
      <c r="AB11" s="46"/>
      <c r="AC11" s="46"/>
      <c r="AD11" s="46"/>
      <c r="AE11" s="47"/>
      <c r="AF11" s="23"/>
      <c r="AG11" s="23"/>
    </row>
    <row r="12" spans="1:33" x14ac:dyDescent="0.25">
      <c r="A12" s="32">
        <v>9</v>
      </c>
      <c r="B12" s="39" t="s">
        <v>74</v>
      </c>
      <c r="C12" s="39" t="s">
        <v>75</v>
      </c>
      <c r="D12" s="39" t="s">
        <v>76</v>
      </c>
      <c r="E12" s="39" t="s">
        <v>77</v>
      </c>
      <c r="F12" s="40" t="s">
        <v>52</v>
      </c>
      <c r="G12" s="40">
        <v>30092</v>
      </c>
      <c r="H12" s="42" t="s">
        <v>78</v>
      </c>
      <c r="I12" s="43" t="s">
        <v>65</v>
      </c>
      <c r="J12" s="71">
        <v>212254.23</v>
      </c>
      <c r="K12" s="23"/>
      <c r="L12" s="45"/>
      <c r="M12" s="52" t="s">
        <v>45</v>
      </c>
      <c r="N12" s="46"/>
      <c r="O12" s="46"/>
      <c r="P12" s="49" t="str">
        <f ca="1">OFFSET(H$3,$L$27,0)</f>
        <v>678.555.4332</v>
      </c>
      <c r="Q12" s="50"/>
      <c r="R12" s="50"/>
      <c r="S12" s="50"/>
      <c r="T12" s="50"/>
      <c r="U12" s="51"/>
      <c r="V12" s="46"/>
      <c r="W12" s="60" t="s">
        <v>99</v>
      </c>
      <c r="X12" s="46"/>
      <c r="Y12" s="49" t="str">
        <f ca="1">OFFSET(I$3,$L$27,0)</f>
        <v>Plan C</v>
      </c>
      <c r="Z12" s="50"/>
      <c r="AA12" s="50"/>
      <c r="AB12" s="50"/>
      <c r="AC12" s="50"/>
      <c r="AD12" s="51"/>
      <c r="AE12" s="47"/>
      <c r="AF12" s="23"/>
      <c r="AG12" s="23"/>
    </row>
    <row r="13" spans="1:33" x14ac:dyDescent="0.25">
      <c r="A13" s="32">
        <v>10</v>
      </c>
      <c r="B13" s="39"/>
      <c r="C13" s="39"/>
      <c r="D13" s="39"/>
      <c r="E13" s="39"/>
      <c r="F13" s="39"/>
      <c r="G13" s="39"/>
      <c r="H13" s="39"/>
      <c r="I13" s="40"/>
      <c r="J13" s="39"/>
      <c r="K13" s="23"/>
      <c r="L13" s="45"/>
      <c r="M13" s="46"/>
      <c r="N13" s="46"/>
      <c r="O13" s="46"/>
      <c r="P13" s="46"/>
      <c r="Q13" s="46"/>
      <c r="R13" s="46"/>
      <c r="S13" s="46"/>
      <c r="T13" s="46"/>
      <c r="U13" s="46"/>
      <c r="V13" s="46"/>
      <c r="W13" s="46"/>
      <c r="X13" s="46"/>
      <c r="Y13" s="46"/>
      <c r="Z13" s="46"/>
      <c r="AA13" s="46"/>
      <c r="AB13" s="46"/>
      <c r="AC13" s="46"/>
      <c r="AD13" s="46"/>
      <c r="AE13" s="47"/>
      <c r="AF13" s="23"/>
      <c r="AG13" s="23"/>
    </row>
    <row r="14" spans="1:33" x14ac:dyDescent="0.25">
      <c r="A14" s="32">
        <v>11</v>
      </c>
      <c r="B14" s="39"/>
      <c r="C14" s="39"/>
      <c r="D14" s="39"/>
      <c r="E14" s="39"/>
      <c r="F14" s="39"/>
      <c r="G14" s="39"/>
      <c r="H14" s="39"/>
      <c r="I14" s="40"/>
      <c r="J14" s="39"/>
      <c r="K14" s="23"/>
      <c r="L14" s="45"/>
      <c r="M14" s="52" t="s">
        <v>90</v>
      </c>
      <c r="N14" s="46"/>
      <c r="O14" s="46"/>
      <c r="P14" s="46"/>
      <c r="Q14" s="46"/>
      <c r="R14" s="46"/>
      <c r="S14" s="46"/>
      <c r="T14" s="46"/>
      <c r="U14" s="46"/>
      <c r="V14" s="46"/>
      <c r="W14" s="46"/>
      <c r="X14" s="46"/>
      <c r="Y14" s="49" t="str">
        <f ca="1">TEXT(OFFSET(J$3,$L$27,0),"$#,###.##")</f>
        <v>$212,254.23</v>
      </c>
      <c r="Z14" s="50"/>
      <c r="AA14" s="50"/>
      <c r="AB14" s="50"/>
      <c r="AC14" s="50"/>
      <c r="AD14" s="51"/>
      <c r="AE14" s="47"/>
      <c r="AF14" s="23"/>
      <c r="AG14" s="23"/>
    </row>
    <row r="15" spans="1:33" x14ac:dyDescent="0.25">
      <c r="A15" s="32">
        <v>12</v>
      </c>
      <c r="B15" s="39"/>
      <c r="C15" s="39"/>
      <c r="D15" s="39"/>
      <c r="E15" s="39"/>
      <c r="F15" s="39"/>
      <c r="G15" s="39"/>
      <c r="H15" s="39"/>
      <c r="I15" s="40"/>
      <c r="J15" s="39"/>
      <c r="K15" s="23"/>
      <c r="L15" s="45"/>
      <c r="M15" s="46"/>
      <c r="N15" s="46"/>
      <c r="O15" s="46"/>
      <c r="P15" s="46"/>
      <c r="Q15" s="46"/>
      <c r="R15" s="46"/>
      <c r="S15" s="46"/>
      <c r="T15" s="46"/>
      <c r="U15" s="46"/>
      <c r="V15" s="46"/>
      <c r="W15" s="46"/>
      <c r="X15" s="46"/>
      <c r="Y15" s="46"/>
      <c r="Z15" s="46"/>
      <c r="AA15" s="46"/>
      <c r="AB15" s="46"/>
      <c r="AC15" s="46"/>
      <c r="AD15" s="46"/>
      <c r="AE15" s="47"/>
      <c r="AF15" s="23"/>
      <c r="AG15" s="23"/>
    </row>
    <row r="16" spans="1:33" x14ac:dyDescent="0.25">
      <c r="A16" s="32">
        <v>13</v>
      </c>
      <c r="B16" s="39"/>
      <c r="C16" s="39"/>
      <c r="D16" s="39"/>
      <c r="E16" s="39"/>
      <c r="F16" s="39"/>
      <c r="G16" s="39"/>
      <c r="H16" s="39"/>
      <c r="I16" s="40"/>
      <c r="J16" s="39"/>
      <c r="K16" s="23"/>
      <c r="L16" s="303" t="s">
        <v>91</v>
      </c>
      <c r="M16" s="304"/>
      <c r="N16" s="304"/>
      <c r="O16" s="304"/>
      <c r="P16" s="304"/>
      <c r="Q16" s="304"/>
      <c r="R16" s="304"/>
      <c r="S16" s="304"/>
      <c r="T16" s="304"/>
      <c r="U16" s="304"/>
      <c r="V16" s="304"/>
      <c r="W16" s="304"/>
      <c r="X16" s="304"/>
      <c r="Y16" s="304"/>
      <c r="Z16" s="304"/>
      <c r="AA16" s="304"/>
      <c r="AB16" s="304"/>
      <c r="AC16" s="304"/>
      <c r="AD16" s="304"/>
      <c r="AE16" s="305"/>
      <c r="AF16" s="23"/>
      <c r="AG16" s="23"/>
    </row>
    <row r="17" spans="1:33" ht="16.5" thickBot="1" x14ac:dyDescent="0.3">
      <c r="A17" s="32">
        <v>14</v>
      </c>
      <c r="B17" s="39"/>
      <c r="C17" s="39"/>
      <c r="D17" s="39"/>
      <c r="E17" s="39"/>
      <c r="F17" s="39"/>
      <c r="G17" s="39"/>
      <c r="H17" s="39"/>
      <c r="I17" s="40"/>
      <c r="J17" s="39"/>
      <c r="K17" s="23"/>
      <c r="L17" s="61"/>
      <c r="M17" s="62"/>
      <c r="N17" s="62"/>
      <c r="O17" s="62"/>
      <c r="P17" s="62"/>
      <c r="Q17" s="62"/>
      <c r="R17" s="62"/>
      <c r="S17" s="62"/>
      <c r="T17" s="62"/>
      <c r="U17" s="62"/>
      <c r="V17" s="62"/>
      <c r="W17" s="62"/>
      <c r="X17" s="62"/>
      <c r="Y17" s="62"/>
      <c r="Z17" s="62"/>
      <c r="AA17" s="62"/>
      <c r="AB17" s="62"/>
      <c r="AC17" s="62"/>
      <c r="AD17" s="62"/>
      <c r="AE17" s="63"/>
      <c r="AF17" s="23"/>
      <c r="AG17" s="23"/>
    </row>
    <row r="18" spans="1:33" x14ac:dyDescent="0.25">
      <c r="A18" s="32">
        <v>15</v>
      </c>
      <c r="B18" s="39"/>
      <c r="C18" s="39"/>
      <c r="D18" s="39"/>
      <c r="E18" s="39"/>
      <c r="F18" s="39"/>
      <c r="G18" s="39"/>
      <c r="H18" s="39"/>
      <c r="I18" s="40"/>
      <c r="J18" s="39"/>
      <c r="K18" s="23"/>
      <c r="L18" s="23"/>
      <c r="M18" s="23"/>
      <c r="N18" s="23"/>
      <c r="O18" s="23"/>
      <c r="P18" s="23"/>
      <c r="Q18" s="23"/>
      <c r="R18" s="23"/>
      <c r="S18" s="23"/>
      <c r="T18" s="23"/>
      <c r="U18" s="23"/>
      <c r="V18" s="23"/>
      <c r="W18" s="23"/>
      <c r="X18" s="23"/>
      <c r="Y18" s="23"/>
      <c r="Z18" s="23"/>
      <c r="AA18" s="23"/>
      <c r="AB18" s="23"/>
      <c r="AC18" s="23"/>
      <c r="AD18" s="23"/>
      <c r="AE18" s="23"/>
      <c r="AF18" s="23"/>
      <c r="AG18" s="23"/>
    </row>
    <row r="19" spans="1:33" x14ac:dyDescent="0.25">
      <c r="A19" s="32">
        <v>16</v>
      </c>
      <c r="B19" s="39"/>
      <c r="C19" s="39"/>
      <c r="D19" s="39"/>
      <c r="E19" s="39"/>
      <c r="F19" s="39"/>
      <c r="G19" s="39"/>
      <c r="H19" s="39"/>
      <c r="I19" s="40"/>
      <c r="J19" s="39"/>
      <c r="K19" s="23"/>
      <c r="L19" s="23"/>
      <c r="M19" s="23"/>
      <c r="N19" s="23"/>
      <c r="O19" s="23"/>
      <c r="P19" s="23"/>
      <c r="Q19" s="23"/>
      <c r="R19" s="23"/>
      <c r="S19" s="23"/>
      <c r="T19" s="23"/>
      <c r="U19" s="23"/>
      <c r="V19" s="23"/>
      <c r="W19" s="23"/>
      <c r="X19" s="23"/>
      <c r="Y19" s="23"/>
      <c r="Z19" s="23"/>
      <c r="AA19" s="23"/>
      <c r="AB19" s="23"/>
      <c r="AC19" s="23"/>
      <c r="AD19" s="23"/>
      <c r="AE19" s="23"/>
      <c r="AF19" s="23"/>
      <c r="AG19" s="23"/>
    </row>
    <row r="20" spans="1:33" x14ac:dyDescent="0.25">
      <c r="A20" s="32">
        <v>17</v>
      </c>
      <c r="B20" s="39"/>
      <c r="C20" s="39"/>
      <c r="D20" s="39"/>
      <c r="E20" s="39"/>
      <c r="F20" s="39"/>
      <c r="G20" s="39"/>
      <c r="H20" s="39"/>
      <c r="I20" s="40"/>
      <c r="J20" s="39"/>
      <c r="K20" s="23"/>
      <c r="L20" s="23"/>
      <c r="M20" s="23"/>
      <c r="N20" s="23"/>
      <c r="O20" s="23"/>
      <c r="P20" s="23"/>
      <c r="Q20" s="23"/>
      <c r="R20" s="23"/>
      <c r="S20" s="23"/>
      <c r="T20" s="23"/>
      <c r="U20" s="23"/>
      <c r="V20" s="23"/>
      <c r="W20" s="23"/>
      <c r="X20" s="23"/>
      <c r="Y20" s="23"/>
      <c r="Z20" s="23"/>
      <c r="AA20" s="23"/>
      <c r="AB20" s="23"/>
      <c r="AC20" s="23"/>
      <c r="AD20" s="23"/>
      <c r="AE20" s="23"/>
      <c r="AF20" s="23"/>
      <c r="AG20" s="23"/>
    </row>
    <row r="21" spans="1:33" x14ac:dyDescent="0.25">
      <c r="A21" s="32">
        <v>18</v>
      </c>
      <c r="B21" s="39"/>
      <c r="C21" s="39"/>
      <c r="D21" s="39"/>
      <c r="E21" s="39"/>
      <c r="F21" s="39"/>
      <c r="G21" s="39"/>
      <c r="H21" s="39"/>
      <c r="I21" s="40"/>
      <c r="J21" s="39"/>
      <c r="K21" s="23"/>
      <c r="L21" s="23"/>
      <c r="M21" s="23"/>
      <c r="N21" s="23"/>
      <c r="O21" s="23"/>
      <c r="P21" s="23"/>
      <c r="Q21" s="23"/>
      <c r="R21" s="23"/>
      <c r="S21" s="23"/>
      <c r="T21" s="23"/>
      <c r="U21" s="23"/>
      <c r="V21" s="23"/>
      <c r="W21" s="23"/>
      <c r="X21" s="23"/>
      <c r="Y21" s="23"/>
      <c r="Z21" s="23"/>
      <c r="AA21" s="23"/>
      <c r="AB21" s="23"/>
      <c r="AC21" s="23"/>
      <c r="AD21" s="23"/>
      <c r="AE21" s="23"/>
      <c r="AF21" s="23"/>
      <c r="AG21" s="23"/>
    </row>
    <row r="22" spans="1:33" x14ac:dyDescent="0.25">
      <c r="A22" s="32">
        <v>19</v>
      </c>
      <c r="B22" s="39"/>
      <c r="C22" s="39"/>
      <c r="D22" s="39"/>
      <c r="E22" s="39"/>
      <c r="F22" s="39"/>
      <c r="G22" s="39"/>
      <c r="H22" s="39"/>
      <c r="I22" s="40"/>
      <c r="J22" s="39"/>
      <c r="K22" s="23"/>
      <c r="L22" s="23"/>
      <c r="M22" s="23"/>
      <c r="N22" s="23"/>
      <c r="O22" s="23"/>
      <c r="P22" s="23"/>
      <c r="Q22" s="23"/>
      <c r="R22" s="23"/>
      <c r="S22" s="23"/>
      <c r="T22" s="23"/>
      <c r="U22" s="23"/>
      <c r="V22" s="23"/>
      <c r="W22" s="23"/>
      <c r="X22" s="23"/>
      <c r="Y22" s="23"/>
      <c r="Z22" s="23"/>
      <c r="AA22" s="23"/>
      <c r="AB22" s="23"/>
      <c r="AC22" s="23"/>
      <c r="AD22" s="23"/>
      <c r="AE22" s="23"/>
      <c r="AF22" s="23"/>
      <c r="AG22" s="23"/>
    </row>
    <row r="23" spans="1:33" x14ac:dyDescent="0.25">
      <c r="A23" s="32">
        <v>20</v>
      </c>
      <c r="B23" s="39"/>
      <c r="C23" s="39"/>
      <c r="D23" s="39"/>
      <c r="E23" s="39"/>
      <c r="F23" s="39"/>
      <c r="G23" s="39"/>
      <c r="H23" s="39"/>
      <c r="I23" s="40"/>
      <c r="J23" s="39"/>
      <c r="K23" s="23"/>
      <c r="L23" s="23"/>
      <c r="M23" s="23"/>
      <c r="N23" s="23"/>
      <c r="O23" s="23"/>
      <c r="P23" s="23"/>
      <c r="Q23" s="23"/>
      <c r="R23" s="23"/>
      <c r="S23" s="23"/>
      <c r="T23" s="23"/>
      <c r="U23" s="23"/>
      <c r="V23" s="23"/>
      <c r="W23" s="23"/>
      <c r="X23" s="23"/>
      <c r="Y23" s="23"/>
      <c r="Z23" s="23"/>
      <c r="AA23" s="23"/>
      <c r="AB23" s="23"/>
      <c r="AC23" s="23"/>
      <c r="AD23" s="23"/>
      <c r="AE23" s="23"/>
      <c r="AF23" s="23"/>
      <c r="AG23" s="23"/>
    </row>
    <row r="24" spans="1:33" x14ac:dyDescent="0.25">
      <c r="A24" s="32">
        <v>21</v>
      </c>
      <c r="B24" s="39"/>
      <c r="C24" s="39"/>
      <c r="D24" s="39"/>
      <c r="E24" s="39"/>
      <c r="F24" s="39"/>
      <c r="G24" s="39"/>
      <c r="H24" s="39"/>
      <c r="I24" s="40"/>
      <c r="J24" s="39"/>
      <c r="K24" s="23"/>
      <c r="L24" s="23"/>
      <c r="M24" s="23"/>
      <c r="N24" s="23"/>
      <c r="O24" s="23"/>
      <c r="P24" s="23"/>
      <c r="Q24" s="23"/>
      <c r="R24" s="23"/>
      <c r="S24" s="23"/>
      <c r="T24" s="23"/>
      <c r="U24" s="23"/>
      <c r="V24" s="23"/>
      <c r="W24" s="23"/>
      <c r="X24" s="23"/>
      <c r="Y24" s="23"/>
      <c r="Z24" s="23"/>
      <c r="AA24" s="23"/>
      <c r="AB24" s="23"/>
      <c r="AC24" s="23"/>
      <c r="AD24" s="23"/>
      <c r="AE24" s="23"/>
      <c r="AF24" s="23"/>
      <c r="AG24" s="23"/>
    </row>
    <row r="25" spans="1:33" x14ac:dyDescent="0.25">
      <c r="A25" s="32">
        <v>22</v>
      </c>
      <c r="B25" s="39"/>
      <c r="C25" s="39"/>
      <c r="D25" s="39"/>
      <c r="E25" s="39"/>
      <c r="F25" s="39"/>
      <c r="G25" s="39"/>
      <c r="H25" s="39"/>
      <c r="I25" s="40"/>
      <c r="J25" s="39"/>
      <c r="K25" s="23"/>
      <c r="L25" s="23"/>
      <c r="M25" s="23"/>
      <c r="N25" s="23"/>
      <c r="O25" s="23"/>
      <c r="P25" s="23"/>
      <c r="Q25" s="23"/>
      <c r="R25" s="23"/>
      <c r="S25" s="23"/>
      <c r="T25" s="23"/>
      <c r="U25" s="23"/>
      <c r="V25" s="23"/>
      <c r="W25" s="23"/>
      <c r="X25" s="23"/>
      <c r="Y25" s="23"/>
      <c r="Z25" s="23"/>
      <c r="AA25" s="23"/>
      <c r="AB25" s="23"/>
      <c r="AC25" s="23"/>
      <c r="AD25" s="23"/>
      <c r="AE25" s="23"/>
      <c r="AF25" s="23"/>
      <c r="AG25" s="23"/>
    </row>
    <row r="26" spans="1:33" x14ac:dyDescent="0.25">
      <c r="A26" s="32">
        <v>23</v>
      </c>
      <c r="B26" s="39"/>
      <c r="C26" s="39"/>
      <c r="D26" s="39"/>
      <c r="E26" s="39"/>
      <c r="F26" s="39"/>
      <c r="G26" s="39"/>
      <c r="H26" s="39"/>
      <c r="I26" s="40"/>
      <c r="J26" s="39"/>
      <c r="K26" s="23"/>
      <c r="L26" s="23"/>
      <c r="M26" s="23"/>
      <c r="N26" s="23"/>
      <c r="O26" s="23"/>
      <c r="P26" s="23"/>
      <c r="Q26" s="23"/>
      <c r="R26" s="23"/>
      <c r="S26" s="23"/>
      <c r="T26" s="23"/>
      <c r="U26" s="23"/>
      <c r="V26" s="23"/>
      <c r="W26" s="23"/>
      <c r="X26" s="23"/>
      <c r="Y26" s="23"/>
      <c r="Z26" s="23"/>
      <c r="AA26" s="23"/>
      <c r="AB26" s="23"/>
      <c r="AC26" s="23"/>
      <c r="AD26" s="23"/>
      <c r="AE26" s="23"/>
      <c r="AF26" s="23"/>
      <c r="AG26" s="23"/>
    </row>
    <row r="27" spans="1:33" x14ac:dyDescent="0.25">
      <c r="A27" s="32">
        <v>24</v>
      </c>
      <c r="B27" s="39"/>
      <c r="C27" s="39"/>
      <c r="D27" s="39"/>
      <c r="E27" s="39"/>
      <c r="F27" s="39"/>
      <c r="G27" s="39"/>
      <c r="H27" s="39"/>
      <c r="I27" s="40"/>
      <c r="J27" s="39"/>
      <c r="K27" s="23"/>
      <c r="L27" s="23">
        <f>COUNTA(B4:B104)</f>
        <v>9</v>
      </c>
      <c r="M27" s="23"/>
      <c r="N27" s="23" t="s">
        <v>442</v>
      </c>
      <c r="O27" s="23"/>
      <c r="P27" s="23"/>
      <c r="Q27" s="23"/>
      <c r="R27" s="23"/>
      <c r="S27" s="23"/>
      <c r="T27" s="23"/>
      <c r="U27" s="23"/>
      <c r="V27" s="23"/>
      <c r="W27" s="23"/>
      <c r="X27" s="23"/>
      <c r="Y27" s="23"/>
      <c r="Z27" s="23"/>
      <c r="AA27" s="23"/>
      <c r="AB27" s="23"/>
      <c r="AC27" s="23"/>
      <c r="AD27" s="23"/>
      <c r="AE27" s="23"/>
      <c r="AF27" s="23"/>
      <c r="AG27" s="23"/>
    </row>
    <row r="28" spans="1:33" x14ac:dyDescent="0.25">
      <c r="A28" s="32">
        <v>25</v>
      </c>
      <c r="B28" s="39"/>
      <c r="C28" s="39"/>
      <c r="D28" s="39"/>
      <c r="E28" s="39"/>
      <c r="F28" s="39"/>
      <c r="G28" s="39"/>
      <c r="H28" s="39"/>
      <c r="I28" s="40"/>
      <c r="J28" s="39"/>
      <c r="K28" s="23"/>
      <c r="L28" s="23"/>
      <c r="M28" s="23"/>
      <c r="N28" s="23"/>
      <c r="O28" s="23"/>
      <c r="P28" s="23"/>
      <c r="Q28" s="23"/>
      <c r="R28" s="23"/>
      <c r="S28" s="23"/>
      <c r="T28" s="23"/>
      <c r="U28" s="23"/>
      <c r="V28" s="23"/>
      <c r="W28" s="23"/>
      <c r="X28" s="23"/>
      <c r="Y28" s="23"/>
      <c r="Z28" s="23"/>
      <c r="AA28" s="23"/>
      <c r="AB28" s="23"/>
      <c r="AC28" s="23"/>
      <c r="AD28" s="23"/>
      <c r="AE28" s="23"/>
      <c r="AF28" s="23"/>
      <c r="AG28" s="23"/>
    </row>
    <row r="29" spans="1:33" x14ac:dyDescent="0.25">
      <c r="A29" s="32">
        <v>26</v>
      </c>
      <c r="B29" s="39"/>
      <c r="C29" s="39"/>
      <c r="D29" s="39"/>
      <c r="E29" s="39"/>
      <c r="F29" s="39"/>
      <c r="G29" s="39"/>
      <c r="H29" s="39"/>
      <c r="I29" s="40"/>
      <c r="J29" s="39"/>
      <c r="K29" s="23"/>
      <c r="L29" s="23"/>
      <c r="M29" s="23"/>
      <c r="N29" s="23"/>
      <c r="O29" s="23"/>
      <c r="P29" s="23"/>
      <c r="Q29" s="23"/>
      <c r="R29" s="23"/>
      <c r="S29" s="23"/>
      <c r="T29" s="23"/>
      <c r="U29" s="23"/>
      <c r="V29" s="23"/>
      <c r="W29" s="23"/>
      <c r="X29" s="23"/>
      <c r="Y29" s="23"/>
      <c r="Z29" s="23"/>
      <c r="AA29" s="23"/>
      <c r="AB29" s="23"/>
      <c r="AC29" s="23"/>
      <c r="AD29" s="23"/>
      <c r="AE29" s="23"/>
      <c r="AF29" s="23"/>
      <c r="AG29" s="23"/>
    </row>
  </sheetData>
  <mergeCells count="2">
    <mergeCell ref="L4:AE4"/>
    <mergeCell ref="L16:AE16"/>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67</vt:i4>
      </vt:variant>
      <vt:variant>
        <vt:lpstr>Named Ranges</vt:lpstr>
      </vt:variant>
      <vt:variant>
        <vt:i4>15</vt:i4>
      </vt:variant>
    </vt:vector>
  </HeadingPairs>
  <TitlesOfParts>
    <vt:vector size="82" baseType="lpstr">
      <vt:lpstr>Summary</vt:lpstr>
      <vt:lpstr>CarltonCollins</vt:lpstr>
      <vt:lpstr>RichardC</vt:lpstr>
      <vt:lpstr>WilliamD</vt:lpstr>
      <vt:lpstr>JeremyJ</vt:lpstr>
      <vt:lpstr>JasonB</vt:lpstr>
      <vt:lpstr>BrianB</vt:lpstr>
      <vt:lpstr>DJD</vt:lpstr>
      <vt:lpstr>JimH</vt:lpstr>
      <vt:lpstr>EricE</vt:lpstr>
      <vt:lpstr>JuliaM</vt:lpstr>
      <vt:lpstr>VinceW</vt:lpstr>
      <vt:lpstr>JoeM</vt:lpstr>
      <vt:lpstr>TravisL</vt:lpstr>
      <vt:lpstr>KateR</vt:lpstr>
      <vt:lpstr>JimS</vt:lpstr>
      <vt:lpstr>BenA</vt:lpstr>
      <vt:lpstr>PeterH</vt:lpstr>
      <vt:lpstr>FredB</vt:lpstr>
      <vt:lpstr>JoshW</vt:lpstr>
      <vt:lpstr>KyleV</vt:lpstr>
      <vt:lpstr>JDK</vt:lpstr>
      <vt:lpstr>AsherF</vt:lpstr>
      <vt:lpstr>PamP</vt:lpstr>
      <vt:lpstr>JenniferK1</vt:lpstr>
      <vt:lpstr>JenniferK2</vt:lpstr>
      <vt:lpstr>JenniferK3</vt:lpstr>
      <vt:lpstr>PatK</vt:lpstr>
      <vt:lpstr>StevenL</vt:lpstr>
      <vt:lpstr>SharonK</vt:lpstr>
      <vt:lpstr>RickY</vt:lpstr>
      <vt:lpstr>AmyB</vt:lpstr>
      <vt:lpstr>CraigF</vt:lpstr>
      <vt:lpstr>AnthonyL1</vt:lpstr>
      <vt:lpstr>AnthonyL2</vt:lpstr>
      <vt:lpstr>KentS</vt:lpstr>
      <vt:lpstr>MichaelC</vt:lpstr>
      <vt:lpstr>ToddM</vt:lpstr>
      <vt:lpstr>DavidF1</vt:lpstr>
      <vt:lpstr>DavidF2</vt:lpstr>
      <vt:lpstr>MilanF1</vt:lpstr>
      <vt:lpstr>MilanF2</vt:lpstr>
      <vt:lpstr>JimSc</vt:lpstr>
      <vt:lpstr>StephenK</vt:lpstr>
      <vt:lpstr>TravisW</vt:lpstr>
      <vt:lpstr>GilB</vt:lpstr>
      <vt:lpstr>KevinD</vt:lpstr>
      <vt:lpstr>ChadC</vt:lpstr>
      <vt:lpstr>JoeB1</vt:lpstr>
      <vt:lpstr>JoeB2</vt:lpstr>
      <vt:lpstr>MarkB</vt:lpstr>
      <vt:lpstr>BradenH</vt:lpstr>
      <vt:lpstr>MaryL</vt:lpstr>
      <vt:lpstr>AlexY</vt:lpstr>
      <vt:lpstr>PatOB</vt:lpstr>
      <vt:lpstr>KimJ</vt:lpstr>
      <vt:lpstr>BradL</vt:lpstr>
      <vt:lpstr>BruceMc</vt:lpstr>
      <vt:lpstr>ColinG</vt:lpstr>
      <vt:lpstr>ThomasU</vt:lpstr>
      <vt:lpstr>MichaelI</vt:lpstr>
      <vt:lpstr>DarrinW</vt:lpstr>
      <vt:lpstr>KarynT</vt:lpstr>
      <vt:lpstr>JordanG</vt:lpstr>
      <vt:lpstr>DavidF</vt:lpstr>
      <vt:lpstr>JesseC</vt:lpstr>
      <vt:lpstr>DavidR</vt:lpstr>
      <vt:lpstr>Address</vt:lpstr>
      <vt:lpstr>Balance</vt:lpstr>
      <vt:lpstr>City</vt:lpstr>
      <vt:lpstr>City_1</vt:lpstr>
      <vt:lpstr>First_Name</vt:lpstr>
      <vt:lpstr>First_Name1</vt:lpstr>
      <vt:lpstr>HeaderRow</vt:lpstr>
      <vt:lpstr>Last_Name</vt:lpstr>
      <vt:lpstr>Last_Name1</vt:lpstr>
      <vt:lpstr>Number</vt:lpstr>
      <vt:lpstr>Pension_Plan</vt:lpstr>
      <vt:lpstr>Pensions</vt:lpstr>
      <vt:lpstr>Phone</vt:lpstr>
      <vt:lpstr>State</vt:lpstr>
      <vt:lpstr>Zip</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 Carlton Collins</dc:creator>
  <cp:lastModifiedBy>J. Carlton Collins</cp:lastModifiedBy>
  <dcterms:created xsi:type="dcterms:W3CDTF">2013-07-29T16:43:58Z</dcterms:created>
  <dcterms:modified xsi:type="dcterms:W3CDTF">2013-08-05T15:27:24Z</dcterms:modified>
</cp:coreProperties>
</file>